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elmak\Documents\Downloads\"/>
    </mc:Choice>
  </mc:AlternateContent>
  <bookViews>
    <workbookView xWindow="0" yWindow="0" windowWidth="23040" windowHeight="8100"/>
  </bookViews>
  <sheets>
    <sheet name="Muutused, suhtarvud" sheetId="1" r:id="rId1"/>
    <sheet name="Du Pont" sheetId="4" r:id="rId2"/>
  </sheets>
  <calcPr calcId="162913" concurrentCalc="0"/>
</workbook>
</file>

<file path=xl/calcChain.xml><?xml version="1.0" encoding="utf-8"?>
<calcChain xmlns="http://schemas.openxmlformats.org/spreadsheetml/2006/main">
  <c r="D79" i="1" l="1"/>
  <c r="C79" i="1"/>
  <c r="D78" i="1"/>
  <c r="C78" i="1"/>
  <c r="D75" i="1"/>
  <c r="C75" i="1"/>
  <c r="D74" i="1"/>
  <c r="C74" i="1"/>
  <c r="D73" i="1"/>
  <c r="C73" i="1"/>
  <c r="D70" i="1"/>
  <c r="C70" i="1"/>
  <c r="D69" i="1"/>
  <c r="C69" i="1"/>
  <c r="D68" i="1"/>
  <c r="C68" i="1"/>
  <c r="D66" i="1"/>
  <c r="C66" i="1"/>
  <c r="D65" i="1"/>
  <c r="C65" i="1"/>
  <c r="G16" i="1"/>
  <c r="G19" i="1"/>
  <c r="G15" i="1"/>
  <c r="G14" i="1"/>
  <c r="G8" i="1"/>
  <c r="G7" i="1"/>
  <c r="P62" i="1"/>
  <c r="Q62" i="1"/>
  <c r="N62" i="1"/>
  <c r="O62" i="1"/>
  <c r="L62" i="1"/>
  <c r="M62" i="1"/>
  <c r="P59" i="1"/>
  <c r="Q59" i="1"/>
  <c r="N59" i="1"/>
  <c r="O59" i="1"/>
  <c r="L59" i="1"/>
  <c r="M59" i="1"/>
  <c r="P55" i="1"/>
  <c r="Q55" i="1"/>
  <c r="N55" i="1"/>
  <c r="O55" i="1"/>
  <c r="L55" i="1"/>
  <c r="M55" i="1"/>
  <c r="P50" i="1"/>
  <c r="Q50" i="1"/>
  <c r="N50" i="1"/>
  <c r="O50" i="1"/>
  <c r="L50" i="1"/>
  <c r="M50" i="1"/>
  <c r="P49" i="1"/>
  <c r="Q49" i="1"/>
  <c r="N49" i="1"/>
  <c r="O49" i="1"/>
  <c r="L49" i="1"/>
  <c r="M49" i="1"/>
  <c r="P48" i="1"/>
  <c r="Q48" i="1"/>
  <c r="N48" i="1"/>
  <c r="O48" i="1"/>
  <c r="L48" i="1"/>
  <c r="M48" i="1"/>
  <c r="P47" i="1"/>
  <c r="Q47" i="1"/>
  <c r="N47" i="1"/>
  <c r="O47" i="1"/>
  <c r="L47" i="1"/>
  <c r="M47" i="1"/>
  <c r="P46" i="1"/>
  <c r="Q46" i="1"/>
  <c r="N46" i="1"/>
  <c r="O46" i="1"/>
  <c r="L46" i="1"/>
  <c r="M46" i="1"/>
  <c r="P42" i="1"/>
  <c r="Q42" i="1"/>
  <c r="N42" i="1"/>
  <c r="O42" i="1"/>
  <c r="L42" i="1"/>
  <c r="M42" i="1"/>
  <c r="P41" i="1"/>
  <c r="Q41" i="1"/>
  <c r="N41" i="1"/>
  <c r="O41" i="1"/>
  <c r="L41" i="1"/>
  <c r="M41" i="1"/>
  <c r="P33" i="1"/>
  <c r="Q33" i="1"/>
  <c r="N33" i="1"/>
  <c r="O33" i="1"/>
  <c r="L33" i="1"/>
  <c r="M33" i="1"/>
  <c r="P32" i="1"/>
  <c r="Q32" i="1"/>
  <c r="N32" i="1"/>
  <c r="O32" i="1"/>
  <c r="L32" i="1"/>
  <c r="M32" i="1"/>
  <c r="C32" i="1"/>
  <c r="P19" i="1"/>
  <c r="Q19" i="1"/>
  <c r="N19" i="1"/>
  <c r="O19" i="1"/>
  <c r="L19" i="1"/>
  <c r="M19" i="1"/>
  <c r="P16" i="1"/>
  <c r="Q16" i="1"/>
  <c r="N16" i="1"/>
  <c r="O16" i="1"/>
  <c r="L16" i="1"/>
  <c r="M16" i="1"/>
  <c r="P14" i="1"/>
  <c r="Q14" i="1"/>
  <c r="N14" i="1"/>
  <c r="O14" i="1"/>
  <c r="L14" i="1"/>
  <c r="M14" i="1"/>
  <c r="Q7" i="1"/>
  <c r="P7" i="1"/>
  <c r="O7" i="1"/>
  <c r="N7" i="1"/>
  <c r="M7" i="1"/>
  <c r="L7" i="1"/>
  <c r="C54" i="1"/>
  <c r="C8" i="1"/>
  <c r="C9" i="1"/>
  <c r="C16" i="1"/>
  <c r="C21" i="1"/>
  <c r="D48" i="1"/>
  <c r="D54" i="1"/>
  <c r="D55" i="1"/>
  <c r="D59" i="1"/>
  <c r="C48" i="1"/>
  <c r="C55" i="1"/>
  <c r="C59" i="1"/>
  <c r="C62" i="1"/>
  <c r="D62" i="1"/>
  <c r="D32" i="1"/>
  <c r="D34" i="1"/>
  <c r="D41" i="1"/>
  <c r="D42" i="1"/>
  <c r="C15" i="1"/>
  <c r="C20" i="1"/>
  <c r="C29" i="1"/>
  <c r="C34" i="1"/>
  <c r="C41" i="1"/>
  <c r="C42" i="1"/>
  <c r="C44" i="1"/>
  <c r="D15" i="1"/>
  <c r="D8" i="1"/>
  <c r="D9" i="1"/>
  <c r="D16" i="1"/>
  <c r="D20" i="1"/>
  <c r="D21" i="1"/>
  <c r="D44" i="1"/>
  <c r="N21" i="4"/>
  <c r="E20" i="1"/>
  <c r="L20" i="4"/>
  <c r="N17" i="4"/>
  <c r="E8" i="1"/>
  <c r="E9" i="1"/>
  <c r="N19" i="4"/>
  <c r="L18" i="4"/>
  <c r="H20" i="4"/>
  <c r="H18" i="4"/>
  <c r="F19" i="4"/>
  <c r="E48" i="1"/>
  <c r="E54" i="1"/>
  <c r="E55" i="1"/>
  <c r="E59" i="1"/>
  <c r="E62" i="1"/>
  <c r="H13" i="4"/>
  <c r="H15" i="4"/>
  <c r="F14" i="4"/>
  <c r="B16" i="4"/>
  <c r="N12" i="4"/>
  <c r="N14" i="4"/>
  <c r="L13" i="4"/>
  <c r="L15" i="4"/>
  <c r="F15" i="1"/>
  <c r="F8" i="1"/>
  <c r="F9" i="1"/>
  <c r="F16" i="1"/>
  <c r="F20" i="1"/>
  <c r="F21" i="1"/>
  <c r="E15" i="1"/>
  <c r="E16" i="1"/>
  <c r="E21" i="1"/>
  <c r="F41" i="1"/>
  <c r="F32" i="1"/>
  <c r="F34" i="1"/>
  <c r="F42" i="1"/>
  <c r="F79" i="1"/>
  <c r="E41" i="1"/>
  <c r="E32" i="1"/>
  <c r="E34" i="1"/>
  <c r="E42" i="1"/>
  <c r="E79" i="1"/>
  <c r="F78" i="1"/>
  <c r="F70" i="1"/>
  <c r="E70" i="1"/>
  <c r="F54" i="1"/>
  <c r="F48" i="1"/>
  <c r="F68" i="1"/>
  <c r="H41" i="1"/>
  <c r="F69" i="1"/>
  <c r="E68" i="1"/>
  <c r="F73" i="1"/>
  <c r="F55" i="1"/>
  <c r="F59" i="1"/>
  <c r="F62" i="1"/>
  <c r="E73" i="1"/>
  <c r="F74" i="1"/>
  <c r="E65" i="1"/>
  <c r="E71" i="1"/>
  <c r="E66" i="1"/>
  <c r="F71" i="1"/>
  <c r="F66" i="1"/>
  <c r="F65" i="1"/>
  <c r="G41" i="1"/>
  <c r="E69" i="1"/>
  <c r="E78" i="1"/>
  <c r="G34" i="1"/>
  <c r="G42" i="1"/>
  <c r="H20" i="1"/>
  <c r="H21" i="1"/>
  <c r="E75" i="1"/>
  <c r="E74" i="1"/>
  <c r="K41" i="1"/>
  <c r="K34" i="1"/>
  <c r="K26" i="1"/>
  <c r="J26" i="1"/>
  <c r="G20" i="1"/>
  <c r="G21" i="1"/>
  <c r="J41" i="1"/>
  <c r="F75" i="1"/>
  <c r="J34" i="1"/>
  <c r="H34" i="1"/>
  <c r="H42" i="1"/>
  <c r="H44" i="1"/>
  <c r="F44" i="1"/>
  <c r="E44" i="1"/>
  <c r="G44" i="1"/>
</calcChain>
</file>

<file path=xl/sharedStrings.xml><?xml version="1.0" encoding="utf-8"?>
<sst xmlns="http://schemas.openxmlformats.org/spreadsheetml/2006/main" count="138" uniqueCount="110">
  <si>
    <t>BILANSS</t>
  </si>
  <si>
    <t>KÄIBEVARA</t>
  </si>
  <si>
    <t>Raha</t>
  </si>
  <si>
    <t>Nõuded ostjate vastu</t>
  </si>
  <si>
    <t>VARUD</t>
  </si>
  <si>
    <t>VARUD KOKKU</t>
  </si>
  <si>
    <t>KÄIBEVARA KOKKU</t>
  </si>
  <si>
    <t>PÕHIVARA</t>
  </si>
  <si>
    <t>VARA KOKKU</t>
  </si>
  <si>
    <t>KOHUSTUSED</t>
  </si>
  <si>
    <t>LÜHIAJALISED KOHUSTUSED</t>
  </si>
  <si>
    <t>Võlad tarnijatele</t>
  </si>
  <si>
    <t>Võlad töötajatele</t>
  </si>
  <si>
    <t>Maksuvõlad</t>
  </si>
  <si>
    <t>Muud võlad</t>
  </si>
  <si>
    <t>Saadud ettemaksud</t>
  </si>
  <si>
    <t>KOHUSTUSED KOKKU</t>
  </si>
  <si>
    <t>OMAKAPITAL</t>
  </si>
  <si>
    <t>AKTSIA (OSA-) KAPITAL</t>
  </si>
  <si>
    <t>Kohustuslikud reservid</t>
  </si>
  <si>
    <t>Jaotamata kasum</t>
  </si>
  <si>
    <t>Jooksva aasta kasum</t>
  </si>
  <si>
    <t>OMAKAPITAL kokku</t>
  </si>
  <si>
    <t>KOHUSTUSED JA OMAKAPITAL KOKKU</t>
  </si>
  <si>
    <t>Vahe</t>
  </si>
  <si>
    <t>KASUMIARUANNE</t>
  </si>
  <si>
    <t>Müügitulu</t>
  </si>
  <si>
    <t>Brutokasum</t>
  </si>
  <si>
    <t>Puhaskasum</t>
  </si>
  <si>
    <t>Likviidsussuhtarvud</t>
  </si>
  <si>
    <t>Maksevõime kordaja</t>
  </si>
  <si>
    <t>käibevara / lühiajalised kohustused</t>
  </si>
  <si>
    <t>käibevara-varud / lühiajalised kohustused</t>
  </si>
  <si>
    <t>Efektiivsussuhtarvud</t>
  </si>
  <si>
    <t>Varude käibekordaja</t>
  </si>
  <si>
    <t>Põhivara käibekordaja</t>
  </si>
  <si>
    <t>Müügikäibe brutorentaablus</t>
  </si>
  <si>
    <t>brutokasum/müügikäive</t>
  </si>
  <si>
    <t>Müügikäibe puhasrentaablus</t>
  </si>
  <si>
    <t>puhaskasum/müügikäive</t>
  </si>
  <si>
    <t>puhaskasum/koguvara</t>
  </si>
  <si>
    <t>puhaskasum/omakapital</t>
  </si>
  <si>
    <t>Puhaskäibekapital</t>
  </si>
  <si>
    <t>Käibevara - lühiajalised kohustused</t>
  </si>
  <si>
    <t>Omakapitali osatähtsus</t>
  </si>
  <si>
    <t>omakapital / kogupassiva</t>
  </si>
  <si>
    <t>Du pont</t>
  </si>
  <si>
    <t>=</t>
  </si>
  <si>
    <t>-</t>
  </si>
  <si>
    <t>puhaskasum</t>
  </si>
  <si>
    <t>Käiberentaablus</t>
  </si>
  <si>
    <t>/</t>
  </si>
  <si>
    <t>Ärikulud</t>
  </si>
  <si>
    <t>ROA</t>
  </si>
  <si>
    <t>x</t>
  </si>
  <si>
    <t xml:space="preserve">Raha </t>
  </si>
  <si>
    <t>Käibekiirus</t>
  </si>
  <si>
    <t>Käibevara</t>
  </si>
  <si>
    <t>+</t>
  </si>
  <si>
    <t>Nõuded</t>
  </si>
  <si>
    <t>Vara</t>
  </si>
  <si>
    <t>Põhivara</t>
  </si>
  <si>
    <t>Koguvara puhasrentaablus ROA</t>
  </si>
  <si>
    <t>Ärikasum</t>
  </si>
  <si>
    <t>€</t>
  </si>
  <si>
    <t>%</t>
  </si>
  <si>
    <t>Nõuded kokku</t>
  </si>
  <si>
    <t>Kapitali struktuur/finantseerimissuhtarvud</t>
  </si>
  <si>
    <t>Võlakordaja</t>
  </si>
  <si>
    <t>Müüdud kauba kulu (COGS)</t>
  </si>
  <si>
    <t>AKTIVA</t>
  </si>
  <si>
    <t>PASSIVA</t>
  </si>
  <si>
    <t>KOKKU LÜHIAJALISED KOHUSTUSED</t>
  </si>
  <si>
    <t>KOKKU PIKAAJALISED KOHUSTUSED</t>
  </si>
  <si>
    <t>Laenud</t>
  </si>
  <si>
    <t>Rentaablussuhtarvud</t>
  </si>
  <si>
    <t>Müüdud kauba kulu</t>
  </si>
  <si>
    <t>Finantskulud (intressikulud - intressitulud)</t>
  </si>
  <si>
    <t>Likviidsuskordaja</t>
  </si>
  <si>
    <t>kohustused/ kogupassiva</t>
  </si>
  <si>
    <t>Varud</t>
  </si>
  <si>
    <t>STRUKTUUR
ANALÜÜS</t>
  </si>
  <si>
    <t>2015 aasta kohta</t>
  </si>
  <si>
    <t>Kohustuste osakaal</t>
  </si>
  <si>
    <t>Omakapitali osakaal</t>
  </si>
  <si>
    <t>Muud nõuded ja ettemaksed</t>
  </si>
  <si>
    <t>Põhivara  kokku</t>
  </si>
  <si>
    <t>Garantiitasud</t>
  </si>
  <si>
    <t>Turustuskulud</t>
  </si>
  <si>
    <t>Üldhalduskulud</t>
  </si>
  <si>
    <t>Muud ärikulud - muud äritulud</t>
  </si>
  <si>
    <t>Vähemussosalus</t>
  </si>
  <si>
    <t>Muud finantstulud- ja kulud</t>
  </si>
  <si>
    <t>Kasum (kahjum) enne tulumaksustamist</t>
  </si>
  <si>
    <t>Tulumaks</t>
  </si>
  <si>
    <t>Arvete laekumise kiirus (päevades)</t>
  </si>
  <si>
    <t>Varude osakaal käibevaras</t>
  </si>
  <si>
    <t>Deb. Võla osakaal koguvaras</t>
  </si>
  <si>
    <t>Varude osakaal koguvaras</t>
  </si>
  <si>
    <t>PV osakaal koguvaras</t>
  </si>
  <si>
    <t>Muutused
2015 vs 2014</t>
  </si>
  <si>
    <t>Käibevara osakaal</t>
  </si>
  <si>
    <t>Deb. Võla osakaal käibevaras</t>
  </si>
  <si>
    <t xml:space="preserve">Nõuded ostjatele / müügitulu * 360 </t>
  </si>
  <si>
    <t>Müügitulu/põhivara maksumus</t>
  </si>
  <si>
    <t>Müüdud toodangu omamaksumus / varude maksumus</t>
  </si>
  <si>
    <t>Muutused
2016 vs 2015</t>
  </si>
  <si>
    <t>Muutused
2017 vs 2016</t>
  </si>
  <si>
    <t>Põhivara kokku</t>
  </si>
  <si>
    <t>Kasum (kahjum) tütarettevõtetelt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</si>
</sst>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%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3">
    <xf numFmtId="0" fontId="0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7" fillId="0" borderId="0">
      <alignment vertical="top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3" xfId="0" applyFont="1" applyBorder="1"/>
    <xf numFmtId="3" fontId="2" fillId="0" borderId="3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2" fillId="0" borderId="5" xfId="0" applyFont="1" applyBorder="1"/>
    <xf numFmtId="0" fontId="3" fillId="0" borderId="6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left"/>
    </xf>
    <xf numFmtId="0" fontId="2" fillId="0" borderId="10" xfId="0" applyFont="1" applyBorder="1"/>
    <xf numFmtId="0" fontId="4" fillId="0" borderId="0" xfId="0" applyFont="1"/>
    <xf numFmtId="2" fontId="2" fillId="0" borderId="0" xfId="0" applyNumberFormat="1" applyFont="1"/>
    <xf numFmtId="0" fontId="3" fillId="0" borderId="0" xfId="0" applyFont="1"/>
    <xf numFmtId="0" fontId="2" fillId="3" borderId="0" xfId="0" applyFont="1" applyFill="1"/>
    <xf numFmtId="0" fontId="2" fillId="3" borderId="9" xfId="0" applyFont="1" applyFill="1" applyBorder="1"/>
    <xf numFmtId="0" fontId="2" fillId="3" borderId="0" xfId="0" applyFont="1" applyFill="1" applyAlignment="1">
      <alignment wrapText="1"/>
    </xf>
    <xf numFmtId="0" fontId="2" fillId="3" borderId="9" xfId="0" applyFont="1" applyFill="1" applyBorder="1" applyAlignment="1">
      <alignment horizontal="center"/>
    </xf>
    <xf numFmtId="0" fontId="2" fillId="4" borderId="0" xfId="0" applyFont="1" applyFill="1"/>
    <xf numFmtId="3" fontId="2" fillId="4" borderId="9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5" xfId="0" applyFont="1" applyBorder="1"/>
    <xf numFmtId="3" fontId="2" fillId="0" borderId="11" xfId="0" applyNumberFormat="1" applyFont="1" applyBorder="1"/>
    <xf numFmtId="0" fontId="3" fillId="0" borderId="19" xfId="0" applyFont="1" applyBorder="1"/>
    <xf numFmtId="3" fontId="10" fillId="0" borderId="0" xfId="0" applyNumberFormat="1" applyFont="1"/>
    <xf numFmtId="3" fontId="2" fillId="2" borderId="1" xfId="0" applyNumberFormat="1" applyFont="1" applyFill="1" applyBorder="1"/>
    <xf numFmtId="3" fontId="2" fillId="2" borderId="21" xfId="0" applyNumberFormat="1" applyFont="1" applyFill="1" applyBorder="1"/>
    <xf numFmtId="3" fontId="3" fillId="2" borderId="1" xfId="0" applyNumberFormat="1" applyFont="1" applyFill="1" applyBorder="1"/>
    <xf numFmtId="0" fontId="2" fillId="0" borderId="5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2" fontId="2" fillId="2" borderId="1" xfId="0" applyNumberFormat="1" applyFont="1" applyFill="1" applyBorder="1"/>
    <xf numFmtId="9" fontId="2" fillId="2" borderId="1" xfId="1" applyFont="1" applyFill="1" applyBorder="1"/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12" fillId="3" borderId="0" xfId="0" applyFont="1" applyFill="1"/>
    <xf numFmtId="0" fontId="12" fillId="0" borderId="0" xfId="0" applyFont="1"/>
    <xf numFmtId="0" fontId="12" fillId="4" borderId="0" xfId="0" applyFont="1" applyFill="1"/>
    <xf numFmtId="0" fontId="12" fillId="0" borderId="0" xfId="0" applyFont="1" applyBorder="1"/>
    <xf numFmtId="0" fontId="12" fillId="4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22" xfId="0" applyFont="1" applyBorder="1"/>
    <xf numFmtId="3" fontId="2" fillId="0" borderId="1" xfId="0" applyNumberFormat="1" applyFont="1" applyBorder="1"/>
    <xf numFmtId="0" fontId="2" fillId="0" borderId="5" xfId="0" applyFont="1" applyBorder="1" applyAlignment="1"/>
    <xf numFmtId="0" fontId="2" fillId="0" borderId="3" xfId="0" applyFont="1" applyBorder="1" applyAlignment="1"/>
    <xf numFmtId="3" fontId="3" fillId="4" borderId="4" xfId="0" applyNumberFormat="1" applyFont="1" applyFill="1" applyBorder="1"/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2" fillId="0" borderId="30" xfId="0" applyFont="1" applyBorder="1"/>
    <xf numFmtId="0" fontId="2" fillId="0" borderId="30" xfId="0" applyFont="1" applyBorder="1" applyAlignment="1">
      <alignment horizontal="center"/>
    </xf>
    <xf numFmtId="3" fontId="2" fillId="0" borderId="20" xfId="0" applyNumberFormat="1" applyFont="1" applyBorder="1"/>
    <xf numFmtId="3" fontId="1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Fill="1" applyBorder="1"/>
    <xf numFmtId="3" fontId="2" fillId="0" borderId="7" xfId="0" applyNumberFormat="1" applyFont="1" applyFill="1" applyBorder="1"/>
    <xf numFmtId="0" fontId="2" fillId="0" borderId="11" xfId="0" applyFont="1" applyBorder="1"/>
    <xf numFmtId="0" fontId="3" fillId="6" borderId="2" xfId="0" applyFont="1" applyFill="1" applyBorder="1" applyAlignment="1">
      <alignment horizontal="right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3" fontId="3" fillId="2" borderId="20" xfId="0" applyNumberFormat="1" applyFont="1" applyFill="1" applyBorder="1"/>
    <xf numFmtId="3" fontId="3" fillId="2" borderId="21" xfId="0" applyNumberFormat="1" applyFont="1" applyFill="1" applyBorder="1"/>
    <xf numFmtId="3" fontId="2" fillId="5" borderId="1" xfId="0" applyNumberFormat="1" applyFont="1" applyFill="1" applyBorder="1"/>
    <xf numFmtId="9" fontId="2" fillId="5" borderId="1" xfId="1" applyFont="1" applyFill="1" applyBorder="1"/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9" fontId="15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" fontId="2" fillId="2" borderId="1" xfId="0" applyNumberFormat="1" applyFont="1" applyFill="1" applyBorder="1"/>
    <xf numFmtId="2" fontId="2" fillId="4" borderId="9" xfId="1" applyNumberFormat="1" applyFont="1" applyFill="1" applyBorder="1" applyAlignment="1">
      <alignment horizontal="center"/>
    </xf>
    <xf numFmtId="4" fontId="2" fillId="4" borderId="9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9" fillId="4" borderId="0" xfId="0" applyFont="1" applyFill="1"/>
    <xf numFmtId="9" fontId="3" fillId="0" borderId="1" xfId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3" fontId="2" fillId="7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/>
    <xf numFmtId="9" fontId="2" fillId="0" borderId="3" xfId="1" applyFont="1" applyBorder="1"/>
    <xf numFmtId="9" fontId="3" fillId="0" borderId="8" xfId="1" applyFont="1" applyBorder="1"/>
    <xf numFmtId="9" fontId="3" fillId="0" borderId="4" xfId="1" applyFont="1" applyBorder="1"/>
    <xf numFmtId="3" fontId="16" fillId="0" borderId="0" xfId="0" applyNumberFormat="1" applyFont="1" applyBorder="1" applyAlignment="1">
      <alignment horizontal="center" vertical="center"/>
    </xf>
    <xf numFmtId="9" fontId="2" fillId="8" borderId="3" xfId="1" applyFont="1" applyFill="1" applyBorder="1"/>
    <xf numFmtId="0" fontId="2" fillId="8" borderId="0" xfId="0" applyFont="1" applyFill="1" applyAlignment="1">
      <alignment horizontal="center" vertical="center"/>
    </xf>
    <xf numFmtId="9" fontId="2" fillId="9" borderId="3" xfId="1" applyFont="1" applyFill="1" applyBorder="1"/>
    <xf numFmtId="9" fontId="2" fillId="9" borderId="1" xfId="1" applyFont="1" applyFill="1" applyBorder="1" applyAlignment="1">
      <alignment horizontal="center" vertical="center"/>
    </xf>
    <xf numFmtId="9" fontId="2" fillId="9" borderId="0" xfId="1" applyFont="1" applyFill="1" applyAlignment="1">
      <alignment horizontal="center" vertical="center"/>
    </xf>
    <xf numFmtId="9" fontId="3" fillId="8" borderId="3" xfId="1" applyFont="1" applyFill="1" applyBorder="1"/>
    <xf numFmtId="0" fontId="2" fillId="8" borderId="1" xfId="0" applyFont="1" applyFill="1" applyBorder="1" applyAlignment="1">
      <alignment horizontal="center" vertical="center"/>
    </xf>
    <xf numFmtId="9" fontId="2" fillId="4" borderId="9" xfId="1" applyNumberFormat="1" applyFont="1" applyFill="1" applyBorder="1"/>
    <xf numFmtId="0" fontId="2" fillId="0" borderId="0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6" borderId="12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3" borderId="0" xfId="0" applyFont="1" applyFill="1" applyBorder="1" applyAlignment="1">
      <alignment horizontal="center" vertical="center" wrapText="1"/>
    </xf>
    <xf numFmtId="9" fontId="2" fillId="4" borderId="0" xfId="1" applyNumberFormat="1" applyFont="1" applyFill="1" applyBorder="1"/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3" fillId="0" borderId="22" xfId="0" applyNumberFormat="1" applyFont="1" applyBorder="1"/>
    <xf numFmtId="3" fontId="2" fillId="6" borderId="12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2" fillId="0" borderId="1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3" fontId="2" fillId="0" borderId="3" xfId="0" applyNumberFormat="1" applyFont="1" applyBorder="1" applyAlignment="1">
      <alignment horizontal="left" wrapText="1"/>
    </xf>
    <xf numFmtId="3" fontId="4" fillId="0" borderId="0" xfId="0" applyNumberFormat="1" applyFont="1" applyAlignment="1">
      <alignment horizontal="left" vertical="top" wrapText="1"/>
    </xf>
    <xf numFmtId="1" fontId="2" fillId="0" borderId="3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3" fontId="2" fillId="4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0" fontId="3" fillId="4" borderId="9" xfId="0" applyFont="1" applyFill="1" applyBorder="1"/>
    <xf numFmtId="3" fontId="3" fillId="4" borderId="9" xfId="0" applyNumberFormat="1" applyFont="1" applyFill="1" applyBorder="1"/>
    <xf numFmtId="165" fontId="2" fillId="0" borderId="3" xfId="0" applyNumberFormat="1" applyFont="1" applyBorder="1" applyAlignment="1">
      <alignment horizontal="right"/>
    </xf>
    <xf numFmtId="165" fontId="2" fillId="0" borderId="16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66" fontId="2" fillId="0" borderId="3" xfId="1" applyNumberFormat="1" applyFont="1" applyBorder="1" applyAlignment="1">
      <alignment horizontal="right"/>
    </xf>
    <xf numFmtId="9" fontId="2" fillId="0" borderId="3" xfId="1" applyFont="1" applyBorder="1" applyAlignment="1">
      <alignment horizontal="right"/>
    </xf>
    <xf numFmtId="166" fontId="2" fillId="2" borderId="1" xfId="1" applyNumberFormat="1" applyFont="1" applyFill="1" applyBorder="1"/>
    <xf numFmtId="166" fontId="2" fillId="0" borderId="3" xfId="1" applyNumberFormat="1" applyFont="1" applyBorder="1" applyAlignment="1">
      <alignment horizontal="right" wrapText="1"/>
    </xf>
  </cellXfs>
  <cellStyles count="73">
    <cellStyle name="Comma 2" xfId="2"/>
    <cellStyle name="Comma 2 2" xfId="3"/>
    <cellStyle name="Comma 2 2 2" xfId="4"/>
    <cellStyle name="Comma 2 2 3" xfId="5"/>
    <cellStyle name="Comma 2 3" xfId="6"/>
    <cellStyle name="Comma 2 4" xfId="7"/>
    <cellStyle name="Comma 3" xfId="8"/>
    <cellStyle name="Comma 3 2" xfId="9"/>
    <cellStyle name="Comma 3 2 2" xfId="10"/>
    <cellStyle name="Comma 3 3" xfId="11"/>
    <cellStyle name="Comma 4" xfId="12"/>
    <cellStyle name="Comma 4 2" xfId="13"/>
    <cellStyle name="Comma 5" xfId="14"/>
    <cellStyle name="Comma 5 2" xfId="15"/>
    <cellStyle name="Comma 6" xfId="16"/>
    <cellStyle name="Comma 7" xfId="17"/>
    <cellStyle name="Comma 8" xfId="18"/>
    <cellStyle name="Milliers_Dahl och Optimera delegation fee_NEW" xfId="19"/>
    <cellStyle name="Normaallaad 2" xfId="20"/>
    <cellStyle name="Normal" xfId="0" builtinId="0"/>
    <cellStyle name="Normal 10" xfId="21"/>
    <cellStyle name="Normal 11" xfId="22"/>
    <cellStyle name="Normal 2" xfId="23"/>
    <cellStyle name="Normal 2 2" xfId="24"/>
    <cellStyle name="Normal 2 2 2" xfId="25"/>
    <cellStyle name="Normal 2 3" xfId="26"/>
    <cellStyle name="Normal 2 3 2" xfId="27"/>
    <cellStyle name="Normal 2 4" xfId="28"/>
    <cellStyle name="Normal 2 5" xfId="29"/>
    <cellStyle name="Normal 3" xfId="30"/>
    <cellStyle name="Normal 3 2" xfId="31"/>
    <cellStyle name="Normal 4" xfId="32"/>
    <cellStyle name="Normal 4 2" xfId="33"/>
    <cellStyle name="Normal 4 2 2" xfId="34"/>
    <cellStyle name="Normal 4 2 3" xfId="35"/>
    <cellStyle name="Normal 4 3" xfId="36"/>
    <cellStyle name="Normal 4 3 2" xfId="37"/>
    <cellStyle name="Normal 4 4" xfId="38"/>
    <cellStyle name="Normal 5" xfId="39"/>
    <cellStyle name="Normal 5 2" xfId="40"/>
    <cellStyle name="Normal 6" xfId="41"/>
    <cellStyle name="Normal 6 2" xfId="42"/>
    <cellStyle name="Normal 7" xfId="43"/>
    <cellStyle name="Normal 8" xfId="44"/>
    <cellStyle name="Normal 8 2" xfId="45"/>
    <cellStyle name="Normal 9" xfId="46"/>
    <cellStyle name="Percent" xfId="1" builtinId="5"/>
    <cellStyle name="Percent 10" xfId="47"/>
    <cellStyle name="Percent 11" xfId="48"/>
    <cellStyle name="Percent 12" xfId="49"/>
    <cellStyle name="Percent 13" xfId="50"/>
    <cellStyle name="Percent 2" xfId="51"/>
    <cellStyle name="Percent 2 2" xfId="52"/>
    <cellStyle name="Percent 2 2 2" xfId="53"/>
    <cellStyle name="Percent 2 3" xfId="54"/>
    <cellStyle name="Percent 2 4" xfId="55"/>
    <cellStyle name="Percent 2 5" xfId="56"/>
    <cellStyle name="Percent 3" xfId="57"/>
    <cellStyle name="Percent 3 2" xfId="58"/>
    <cellStyle name="Percent 3 2 2" xfId="59"/>
    <cellStyle name="Percent 3 3" xfId="60"/>
    <cellStyle name="Percent 4" xfId="61"/>
    <cellStyle name="Percent 4 2" xfId="62"/>
    <cellStyle name="Percent 5" xfId="63"/>
    <cellStyle name="Percent 5 2" xfId="64"/>
    <cellStyle name="Percent 5 3" xfId="65"/>
    <cellStyle name="Percent 6" xfId="66"/>
    <cellStyle name="Percent 7" xfId="67"/>
    <cellStyle name="Percent 8" xfId="68"/>
    <cellStyle name="Percent 9" xfId="69"/>
    <cellStyle name="Percent 9 2" xfId="70"/>
    <cellStyle name="Protsent 2" xfId="71"/>
    <cellStyle name="Tusental_CKmånadsavslut" xfId="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54429</xdr:colOff>
      <xdr:row>6</xdr:row>
      <xdr:rowOff>59872</xdr:rowOff>
    </xdr:from>
    <xdr:to>
      <xdr:col>6</xdr:col>
      <xdr:colOff>277586</xdr:colOff>
      <xdr:row>6</xdr:row>
      <xdr:rowOff>125186</xdr:rowOff>
    </xdr:to>
    <xdr:cxnSp macro="">
      <xdr:nvCxnSpPr>
        <xdr:cNvPr id="3" name="Straight Arrow Connector 2"/>
        <xdr:cNvCxnSpPr/>
      </xdr:nvCxnSpPr>
      <xdr:spPr>
        <a:xfrm flipH="1" flipV="1">
          <a:off x="4550229" y="1687286"/>
          <a:ext cx="223157" cy="653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6</xdr:row>
      <xdr:rowOff>133168</xdr:rowOff>
    </xdr:from>
    <xdr:to>
      <xdr:col>6</xdr:col>
      <xdr:colOff>273232</xdr:colOff>
      <xdr:row>15</xdr:row>
      <xdr:rowOff>76200</xdr:rowOff>
    </xdr:to>
    <xdr:cxnSp macro="">
      <xdr:nvCxnSpPr>
        <xdr:cNvPr id="5" name="Straight Arrow Connector 4"/>
        <xdr:cNvCxnSpPr/>
      </xdr:nvCxnSpPr>
      <xdr:spPr>
        <a:xfrm flipH="1">
          <a:off x="3789680" y="1774008"/>
          <a:ext cx="984432" cy="10301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</xdr:colOff>
      <xdr:row>6</xdr:row>
      <xdr:rowOff>91440</xdr:rowOff>
    </xdr:from>
    <xdr:to>
      <xdr:col>6</xdr:col>
      <xdr:colOff>198120</xdr:colOff>
      <xdr:row>7</xdr:row>
      <xdr:rowOff>86360</xdr:rowOff>
    </xdr:to>
    <xdr:cxnSp macro="">
      <xdr:nvCxnSpPr>
        <xdr:cNvPr id="4" name="Straight Arrow Connector 3"/>
        <xdr:cNvCxnSpPr/>
      </xdr:nvCxnSpPr>
      <xdr:spPr>
        <a:xfrm flipH="1" flipV="1">
          <a:off x="4511040" y="1732280"/>
          <a:ext cx="187960" cy="172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96520</xdr:colOff>
      <xdr:row>7</xdr:row>
      <xdr:rowOff>101600</xdr:rowOff>
    </xdr:from>
    <xdr:to>
      <xdr:col>6</xdr:col>
      <xdr:colOff>187960</xdr:colOff>
      <xdr:row>20</xdr:row>
      <xdr:rowOff>76200</xdr:rowOff>
    </xdr:to>
    <xdr:cxnSp macro="">
      <xdr:nvCxnSpPr>
        <xdr:cNvPr id="7" name="Straight Arrow Connector 6"/>
        <xdr:cNvCxnSpPr/>
      </xdr:nvCxnSpPr>
      <xdr:spPr>
        <a:xfrm flipH="1">
          <a:off x="4597400" y="1920240"/>
          <a:ext cx="91440" cy="19964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zoomScale="95" zoomScaleNormal="95" workbookViewId="0">
      <pane ySplit="3" topLeftCell="A31" activePane="bottomLeft" state="frozen"/>
      <selection pane="bottomLeft" activeCell="F7" sqref="F7"/>
    </sheetView>
  </sheetViews>
  <sheetFormatPr defaultColWidth="9.109375" defaultRowHeight="21" x14ac:dyDescent="0.4"/>
  <cols>
    <col min="1" max="1" width="30.6640625" style="1" customWidth="1"/>
    <col min="2" max="2" width="13" style="1" customWidth="1"/>
    <col min="3" max="3" width="13" style="10" customWidth="1"/>
    <col min="4" max="4" width="13" style="1" customWidth="1"/>
    <col min="5" max="5" width="10.88671875" style="1" customWidth="1"/>
    <col min="6" max="6" width="11" style="1" customWidth="1"/>
    <col min="7" max="7" width="8.88671875" style="1" customWidth="1"/>
    <col min="8" max="8" width="10.88671875" style="1" customWidth="1"/>
    <col min="9" max="9" width="25.77734375" style="60" customWidth="1"/>
    <col min="10" max="10" width="4.77734375" style="60" customWidth="1"/>
    <col min="11" max="11" width="5.5546875" style="60" customWidth="1"/>
    <col min="12" max="12" width="10.77734375" style="1" bestFit="1" customWidth="1"/>
    <col min="13" max="13" width="6.6640625" style="45" customWidth="1"/>
    <col min="14" max="14" width="10" style="1" bestFit="1" customWidth="1"/>
    <col min="15" max="15" width="6.77734375" style="1" customWidth="1"/>
    <col min="16" max="16" width="9.109375" style="1" bestFit="1" customWidth="1"/>
    <col min="17" max="17" width="9.6640625" style="1" customWidth="1"/>
    <col min="18" max="16384" width="9.109375" style="1"/>
  </cols>
  <sheetData>
    <row r="1" spans="1:20" x14ac:dyDescent="0.4">
      <c r="A1" s="15" t="s">
        <v>0</v>
      </c>
    </row>
    <row r="2" spans="1:20" x14ac:dyDescent="0.25">
      <c r="A2" s="179" t="s">
        <v>70</v>
      </c>
      <c r="B2" s="179"/>
      <c r="C2" s="179"/>
      <c r="D2" s="179"/>
      <c r="E2" s="179"/>
      <c r="F2" s="179"/>
      <c r="I2" s="184"/>
      <c r="J2" s="184"/>
      <c r="K2" s="184"/>
      <c r="L2" s="179"/>
      <c r="M2" s="179"/>
      <c r="N2" s="179"/>
      <c r="O2" s="179"/>
      <c r="P2" s="179"/>
      <c r="Q2" s="179"/>
    </row>
    <row r="3" spans="1:20" ht="30.75" customHeight="1" x14ac:dyDescent="0.25">
      <c r="A3" s="157"/>
      <c r="B3" s="158"/>
      <c r="C3" s="133">
        <v>2017</v>
      </c>
      <c r="D3" s="121">
        <v>2016</v>
      </c>
      <c r="E3" s="75">
        <v>2015</v>
      </c>
      <c r="F3" s="75">
        <v>2014</v>
      </c>
      <c r="G3" s="188" t="s">
        <v>81</v>
      </c>
      <c r="H3" s="189"/>
      <c r="I3" s="189"/>
      <c r="J3" s="189"/>
      <c r="K3" s="190"/>
      <c r="L3" s="180" t="s">
        <v>107</v>
      </c>
      <c r="M3" s="181"/>
      <c r="N3" s="180" t="s">
        <v>106</v>
      </c>
      <c r="O3" s="181"/>
      <c r="P3" s="180" t="s">
        <v>100</v>
      </c>
      <c r="Q3" s="181"/>
    </row>
    <row r="4" spans="1:20" ht="14.4" thickBot="1" x14ac:dyDescent="0.3">
      <c r="A4" s="114"/>
      <c r="B4" s="114"/>
      <c r="C4" s="134"/>
      <c r="D4" s="114"/>
      <c r="E4" s="115"/>
      <c r="F4" s="67"/>
      <c r="G4" s="67"/>
      <c r="H4" s="67"/>
      <c r="I4" s="82"/>
      <c r="J4" s="82"/>
      <c r="K4" s="82"/>
      <c r="L4" s="68" t="s">
        <v>64</v>
      </c>
      <c r="M4" s="68" t="s">
        <v>65</v>
      </c>
      <c r="N4" s="69" t="s">
        <v>64</v>
      </c>
      <c r="O4" s="69" t="s">
        <v>65</v>
      </c>
      <c r="P4" s="69" t="s">
        <v>64</v>
      </c>
      <c r="Q4" s="69" t="s">
        <v>65</v>
      </c>
    </row>
    <row r="5" spans="1:20" ht="21.6" thickTop="1" x14ac:dyDescent="0.4">
      <c r="A5" s="159" t="s">
        <v>1</v>
      </c>
      <c r="B5" s="172"/>
      <c r="C5" s="129"/>
      <c r="D5" s="119"/>
      <c r="E5" s="2"/>
      <c r="F5" s="2"/>
      <c r="G5" s="2"/>
      <c r="H5" s="2"/>
      <c r="I5" s="185"/>
      <c r="J5" s="186"/>
      <c r="K5" s="186"/>
      <c r="L5" s="23"/>
      <c r="M5" s="47"/>
      <c r="N5" s="23"/>
      <c r="O5" s="23"/>
      <c r="P5" s="23"/>
      <c r="Q5" s="23"/>
      <c r="R5" s="23"/>
      <c r="S5" s="23"/>
      <c r="T5" s="23"/>
    </row>
    <row r="6" spans="1:20" x14ac:dyDescent="0.4">
      <c r="A6" s="167" t="s">
        <v>2</v>
      </c>
      <c r="B6" s="154"/>
      <c r="C6" s="128">
        <v>2115794</v>
      </c>
      <c r="D6" s="128">
        <v>517658</v>
      </c>
      <c r="E6" s="3">
        <v>489650</v>
      </c>
      <c r="F6" s="3">
        <v>464042</v>
      </c>
      <c r="G6" s="3"/>
      <c r="H6" s="3"/>
      <c r="I6" s="185"/>
      <c r="J6" s="186"/>
      <c r="K6" s="186"/>
      <c r="L6" s="23"/>
      <c r="M6" s="47"/>
      <c r="N6" s="23"/>
      <c r="O6" s="23"/>
      <c r="P6" s="23"/>
      <c r="Q6" s="23"/>
    </row>
    <row r="7" spans="1:20" ht="13.8" x14ac:dyDescent="0.25">
      <c r="A7" s="170" t="s">
        <v>3</v>
      </c>
      <c r="B7" s="171"/>
      <c r="C7" s="128">
        <v>12038355</v>
      </c>
      <c r="D7" s="128">
        <v>12717542</v>
      </c>
      <c r="E7" s="3">
        <v>10730708</v>
      </c>
      <c r="F7" s="3">
        <v>8485048</v>
      </c>
      <c r="G7" s="108">
        <f>C7/C16</f>
        <v>0.47020531758487516</v>
      </c>
      <c r="H7" s="108"/>
      <c r="I7" s="109" t="s">
        <v>102</v>
      </c>
      <c r="J7" s="83"/>
      <c r="K7" s="83"/>
      <c r="L7" s="80">
        <f>C7-D7</f>
        <v>-679187</v>
      </c>
      <c r="M7" s="81">
        <f>L7/D7</f>
        <v>-5.3405524432315617E-2</v>
      </c>
      <c r="N7" s="80">
        <f>D7-E7</f>
        <v>1986834</v>
      </c>
      <c r="O7" s="81">
        <f>N7/E7</f>
        <v>0.18515404575355141</v>
      </c>
      <c r="P7" s="80">
        <f>E7-F7</f>
        <v>2245660</v>
      </c>
      <c r="Q7" s="81">
        <f>P7/F7</f>
        <v>0.26466084811777141</v>
      </c>
    </row>
    <row r="8" spans="1:20" ht="13.8" x14ac:dyDescent="0.25">
      <c r="A8" s="170" t="s">
        <v>85</v>
      </c>
      <c r="B8" s="171"/>
      <c r="C8" s="128">
        <f>13463708-C7</f>
        <v>1425353</v>
      </c>
      <c r="D8" s="128">
        <f>13990836-D7</f>
        <v>1273294</v>
      </c>
      <c r="E8" s="3">
        <f>12148789-E7</f>
        <v>1418081</v>
      </c>
      <c r="F8" s="3">
        <f>9833740-F7</f>
        <v>1348692</v>
      </c>
      <c r="G8" s="106">
        <f>C7/C21</f>
        <v>0.25387816565169358</v>
      </c>
      <c r="H8" s="106"/>
      <c r="I8" s="107" t="s">
        <v>97</v>
      </c>
      <c r="J8" s="82"/>
      <c r="K8" s="82"/>
      <c r="L8" s="82"/>
      <c r="M8" s="82"/>
      <c r="N8" s="82"/>
      <c r="O8" s="82"/>
      <c r="P8" s="82"/>
      <c r="Q8" s="82"/>
    </row>
    <row r="9" spans="1:20" ht="15" customHeight="1" x14ac:dyDescent="0.25">
      <c r="A9" s="159" t="s">
        <v>66</v>
      </c>
      <c r="B9" s="172"/>
      <c r="C9" s="129">
        <f>SUM(C7:C8)</f>
        <v>13463708</v>
      </c>
      <c r="D9" s="129">
        <f>SUM(D7:D8)</f>
        <v>13990836</v>
      </c>
      <c r="E9" s="4">
        <f>E7+E8</f>
        <v>12148789</v>
      </c>
      <c r="F9" s="4">
        <f>F7+F8</f>
        <v>9833740</v>
      </c>
      <c r="G9" s="4"/>
      <c r="H9" s="4"/>
      <c r="I9" s="185"/>
      <c r="J9" s="186"/>
      <c r="K9" s="187"/>
      <c r="L9" s="82"/>
      <c r="M9" s="82"/>
      <c r="N9" s="82"/>
      <c r="O9" s="82"/>
      <c r="P9" s="82"/>
      <c r="Q9" s="82"/>
    </row>
    <row r="10" spans="1:20" ht="20.25" hidden="1" customHeight="1" x14ac:dyDescent="0.3">
      <c r="A10" s="173" t="s">
        <v>4</v>
      </c>
      <c r="B10" s="174"/>
      <c r="C10" s="130"/>
      <c r="D10" s="130"/>
      <c r="E10" s="3"/>
      <c r="F10" s="3"/>
      <c r="G10" s="3"/>
      <c r="H10" s="3"/>
      <c r="I10" s="185"/>
      <c r="J10" s="186"/>
      <c r="K10" s="187"/>
      <c r="L10" s="82"/>
      <c r="M10" s="82"/>
      <c r="N10" s="82"/>
      <c r="O10" s="82"/>
      <c r="P10" s="82"/>
      <c r="Q10" s="82"/>
    </row>
    <row r="11" spans="1:20" ht="15" hidden="1" customHeight="1" x14ac:dyDescent="0.25">
      <c r="A11" s="170"/>
      <c r="B11" s="171"/>
      <c r="C11" s="128"/>
      <c r="D11" s="128"/>
      <c r="E11" s="3"/>
      <c r="F11" s="3"/>
      <c r="G11" s="3"/>
      <c r="H11" s="3"/>
      <c r="I11" s="185"/>
      <c r="J11" s="186"/>
      <c r="K11" s="187"/>
      <c r="L11" s="82"/>
      <c r="M11" s="82"/>
      <c r="N11" s="82"/>
      <c r="O11" s="82"/>
      <c r="P11" s="82"/>
      <c r="Q11" s="82"/>
    </row>
    <row r="12" spans="1:20" ht="15" hidden="1" customHeight="1" x14ac:dyDescent="0.25">
      <c r="A12" s="170"/>
      <c r="B12" s="171"/>
      <c r="C12" s="128"/>
      <c r="D12" s="128"/>
      <c r="E12" s="3"/>
      <c r="F12" s="3"/>
      <c r="G12" s="3"/>
      <c r="H12" s="3"/>
      <c r="I12" s="185"/>
      <c r="J12" s="186"/>
      <c r="K12" s="187"/>
      <c r="L12" s="82"/>
      <c r="M12" s="82"/>
      <c r="N12" s="82"/>
      <c r="O12" s="82"/>
      <c r="P12" s="82"/>
      <c r="Q12" s="82"/>
    </row>
    <row r="13" spans="1:20" ht="13.8" x14ac:dyDescent="0.25">
      <c r="A13" s="170"/>
      <c r="B13" s="171"/>
      <c r="C13" s="128"/>
      <c r="D13" s="128"/>
      <c r="E13" s="3"/>
      <c r="F13" s="3"/>
      <c r="G13" s="3"/>
      <c r="H13" s="3"/>
      <c r="I13" s="185"/>
      <c r="J13" s="186"/>
      <c r="K13" s="187"/>
      <c r="L13" s="82"/>
      <c r="M13" s="82"/>
      <c r="N13" s="82"/>
      <c r="O13" s="82"/>
      <c r="P13" s="82"/>
      <c r="Q13" s="82"/>
    </row>
    <row r="14" spans="1:20" ht="13.8" x14ac:dyDescent="0.25">
      <c r="A14" s="170" t="s">
        <v>80</v>
      </c>
      <c r="B14" s="171"/>
      <c r="C14" s="128">
        <v>10022835</v>
      </c>
      <c r="D14" s="128">
        <v>8522147</v>
      </c>
      <c r="E14" s="3">
        <v>9786846</v>
      </c>
      <c r="F14" s="3">
        <v>8726973</v>
      </c>
      <c r="G14" s="108">
        <f>C14/C16</f>
        <v>0.39148125423081492</v>
      </c>
      <c r="H14" s="108"/>
      <c r="I14" s="110" t="s">
        <v>96</v>
      </c>
      <c r="J14" s="83"/>
      <c r="K14" s="83"/>
      <c r="L14" s="80">
        <f>C14-D14</f>
        <v>1500688</v>
      </c>
      <c r="M14" s="81">
        <f>L14/D14</f>
        <v>0.17609271466450885</v>
      </c>
      <c r="N14" s="80">
        <f>D14-E14</f>
        <v>-1264699</v>
      </c>
      <c r="O14" s="81">
        <f>N14/E14</f>
        <v>-0.12922436911748689</v>
      </c>
      <c r="P14" s="80">
        <f>E14-F14</f>
        <v>1059873</v>
      </c>
      <c r="Q14" s="81">
        <f>P14/F14</f>
        <v>0.12144795222810933</v>
      </c>
    </row>
    <row r="15" spans="1:20" ht="14.4" thickBot="1" x14ac:dyDescent="0.3">
      <c r="A15" s="175" t="s">
        <v>5</v>
      </c>
      <c r="B15" s="176"/>
      <c r="C15" s="4">
        <f t="shared" ref="C15:D15" si="0">SUM(C14)</f>
        <v>10022835</v>
      </c>
      <c r="D15" s="4">
        <f t="shared" si="0"/>
        <v>8522147</v>
      </c>
      <c r="E15" s="4">
        <f>SUM(E14)</f>
        <v>9786846</v>
      </c>
      <c r="F15" s="4">
        <f>SUM(F14)</f>
        <v>8726973</v>
      </c>
      <c r="G15" s="111">
        <f>C15/C21</f>
        <v>0.21137264721214755</v>
      </c>
      <c r="H15" s="111"/>
      <c r="I15" s="112" t="s">
        <v>98</v>
      </c>
      <c r="J15" s="82"/>
      <c r="K15" s="82"/>
      <c r="L15" s="82"/>
      <c r="M15" s="82"/>
      <c r="N15" s="82"/>
      <c r="O15" s="82"/>
      <c r="P15" s="82"/>
      <c r="Q15" s="82"/>
    </row>
    <row r="16" spans="1:20" ht="14.4" thickBot="1" x14ac:dyDescent="0.3">
      <c r="A16" s="165" t="s">
        <v>6</v>
      </c>
      <c r="B16" s="166"/>
      <c r="C16" s="5">
        <f t="shared" ref="C16:D16" si="1">C15+C9+C6</f>
        <v>25602337</v>
      </c>
      <c r="D16" s="5">
        <f t="shared" si="1"/>
        <v>23030641</v>
      </c>
      <c r="E16" s="5">
        <f>E15+E9+E6</f>
        <v>22425285</v>
      </c>
      <c r="F16" s="5">
        <f>F15+F9+F6</f>
        <v>19024755</v>
      </c>
      <c r="G16" s="104">
        <f>C16/C21</f>
        <v>0.53993044348305763</v>
      </c>
      <c r="H16" s="104"/>
      <c r="I16" s="82" t="s">
        <v>101</v>
      </c>
      <c r="J16" s="82"/>
      <c r="K16" s="82"/>
      <c r="L16" s="80">
        <f>C16-D16</f>
        <v>2571696</v>
      </c>
      <c r="M16" s="81">
        <f>L16/D16</f>
        <v>0.11166410869762591</v>
      </c>
      <c r="N16" s="80">
        <f>D16-E16</f>
        <v>605356</v>
      </c>
      <c r="O16" s="81">
        <f>N16/E16</f>
        <v>2.6994350350508366E-2</v>
      </c>
      <c r="P16" s="80">
        <f>E16-F16</f>
        <v>3400530</v>
      </c>
      <c r="Q16" s="81">
        <f>P16/F16</f>
        <v>0.17874238065089407</v>
      </c>
    </row>
    <row r="17" spans="1:19" x14ac:dyDescent="0.4">
      <c r="A17" s="161" t="s">
        <v>7</v>
      </c>
      <c r="B17" s="162"/>
      <c r="C17" s="136"/>
      <c r="D17" s="120"/>
      <c r="E17" s="4"/>
      <c r="F17" s="4"/>
      <c r="G17" s="4"/>
      <c r="H17" s="4"/>
    </row>
    <row r="18" spans="1:19" ht="9" customHeight="1" x14ac:dyDescent="0.4">
      <c r="A18" s="167"/>
      <c r="B18" s="155"/>
      <c r="C18" s="137"/>
      <c r="D18" s="122"/>
      <c r="E18" s="54"/>
      <c r="F18" s="3"/>
      <c r="G18" s="3"/>
      <c r="H18" s="3"/>
      <c r="I18" s="61"/>
      <c r="J18" s="61"/>
      <c r="K18" s="61"/>
    </row>
    <row r="19" spans="1:19" ht="21.6" thickBot="1" x14ac:dyDescent="0.3">
      <c r="A19" s="168" t="s">
        <v>86</v>
      </c>
      <c r="B19" s="169"/>
      <c r="C19" s="131">
        <v>21815506</v>
      </c>
      <c r="D19" s="131">
        <v>22749871</v>
      </c>
      <c r="E19" s="3">
        <v>22167321</v>
      </c>
      <c r="F19" s="3">
        <v>17050199</v>
      </c>
      <c r="G19" s="102">
        <f>C19/C21</f>
        <v>0.46006955651694237</v>
      </c>
      <c r="H19" s="102"/>
      <c r="I19" s="105" t="s">
        <v>99</v>
      </c>
      <c r="J19" s="61"/>
      <c r="K19" s="61"/>
      <c r="L19" s="80">
        <f>C19-D19</f>
        <v>-934365</v>
      </c>
      <c r="M19" s="81">
        <f>L19/D19</f>
        <v>-4.1071221898357137E-2</v>
      </c>
      <c r="N19" s="80">
        <f>D19-E19</f>
        <v>582550</v>
      </c>
      <c r="O19" s="81">
        <f>N19/E19</f>
        <v>2.6279675383416877E-2</v>
      </c>
      <c r="P19" s="80">
        <f>E19-F19</f>
        <v>5117122</v>
      </c>
      <c r="Q19" s="81">
        <f>P19/F19</f>
        <v>0.30012095460000204</v>
      </c>
    </row>
    <row r="20" spans="1:19" thickBot="1" x14ac:dyDescent="0.3">
      <c r="A20" s="7" t="s">
        <v>108</v>
      </c>
      <c r="B20" s="51"/>
      <c r="C20" s="132">
        <f>C19</f>
        <v>21815506</v>
      </c>
      <c r="D20" s="132">
        <f>D19</f>
        <v>22749871</v>
      </c>
      <c r="E20" s="5">
        <f>E18+E19</f>
        <v>22167321</v>
      </c>
      <c r="F20" s="5">
        <f>F18+F19</f>
        <v>17050199</v>
      </c>
      <c r="G20" s="5">
        <f>G18+G19</f>
        <v>0.46006955651694237</v>
      </c>
      <c r="H20" s="5">
        <f>H18+H19</f>
        <v>0</v>
      </c>
      <c r="I20" s="62"/>
      <c r="J20" s="62"/>
      <c r="K20" s="62"/>
      <c r="L20" s="62"/>
      <c r="M20" s="62"/>
      <c r="N20" s="62"/>
      <c r="O20" s="62"/>
      <c r="P20" s="62"/>
      <c r="Q20" s="62"/>
    </row>
    <row r="21" spans="1:19" thickBot="1" x14ac:dyDescent="0.3">
      <c r="A21" s="163" t="s">
        <v>8</v>
      </c>
      <c r="B21" s="164"/>
      <c r="C21" s="55">
        <f t="shared" ref="C21:D21" si="2">C16+C20</f>
        <v>47417843</v>
      </c>
      <c r="D21" s="55">
        <f t="shared" si="2"/>
        <v>45780512</v>
      </c>
      <c r="E21" s="55">
        <f>E16+E20</f>
        <v>44592606</v>
      </c>
      <c r="F21" s="55">
        <f>F16+F20</f>
        <v>36074954</v>
      </c>
      <c r="G21" s="55">
        <f>G16+G20</f>
        <v>1</v>
      </c>
      <c r="H21" s="55">
        <f>H16+H20</f>
        <v>0</v>
      </c>
      <c r="I21" s="62"/>
      <c r="J21" s="62"/>
      <c r="K21" s="62"/>
      <c r="L21" s="62"/>
      <c r="M21" s="62"/>
      <c r="N21" s="62"/>
      <c r="O21" s="62"/>
      <c r="P21" s="62"/>
      <c r="Q21" s="62"/>
    </row>
    <row r="22" spans="1:19" x14ac:dyDescent="0.4">
      <c r="A22" s="182" t="s">
        <v>71</v>
      </c>
      <c r="B22" s="183"/>
      <c r="C22" s="183"/>
      <c r="D22" s="183"/>
      <c r="E22" s="183"/>
      <c r="F22" s="183"/>
      <c r="G22" s="183"/>
      <c r="H22" s="183"/>
      <c r="I22" s="63"/>
      <c r="J22" s="63"/>
      <c r="K22" s="63"/>
    </row>
    <row r="23" spans="1:19" x14ac:dyDescent="0.4">
      <c r="A23" s="159" t="s">
        <v>9</v>
      </c>
      <c r="B23" s="160"/>
      <c r="C23" s="160"/>
      <c r="D23" s="160"/>
      <c r="E23" s="160"/>
      <c r="F23" s="160"/>
      <c r="G23" s="160"/>
      <c r="H23" s="160"/>
      <c r="I23" s="63"/>
      <c r="J23" s="63"/>
      <c r="K23" s="63"/>
    </row>
    <row r="24" spans="1:19" x14ac:dyDescent="0.4">
      <c r="A24" s="159" t="s">
        <v>10</v>
      </c>
      <c r="B24" s="160"/>
      <c r="C24" s="160"/>
      <c r="D24" s="160"/>
      <c r="E24" s="160"/>
      <c r="F24" s="160"/>
      <c r="G24" s="160"/>
      <c r="H24" s="160"/>
      <c r="I24" s="63"/>
      <c r="J24" s="63"/>
      <c r="K24" s="63"/>
    </row>
    <row r="25" spans="1:19" x14ac:dyDescent="0.25">
      <c r="A25" s="170" t="s">
        <v>74</v>
      </c>
      <c r="B25" s="171"/>
      <c r="C25" s="128">
        <v>11186816</v>
      </c>
      <c r="D25" s="149">
        <v>13574565</v>
      </c>
      <c r="E25" s="52">
        <v>14246895</v>
      </c>
      <c r="F25" s="52">
        <v>12943772</v>
      </c>
      <c r="G25" s="52"/>
      <c r="H25" s="52"/>
      <c r="I25" s="64"/>
      <c r="J25" s="64"/>
      <c r="K25" s="64"/>
      <c r="M25" s="1"/>
    </row>
    <row r="26" spans="1:19" ht="16.8" customHeight="1" x14ac:dyDescent="0.25">
      <c r="A26" s="170" t="s">
        <v>11</v>
      </c>
      <c r="B26" s="171"/>
      <c r="C26" s="128">
        <v>9760349</v>
      </c>
      <c r="D26" s="128">
        <v>9312992</v>
      </c>
      <c r="E26" s="52">
        <v>8455712</v>
      </c>
      <c r="F26" s="52">
        <v>5428836</v>
      </c>
      <c r="G26" s="3"/>
      <c r="H26" s="52"/>
      <c r="I26" s="87"/>
      <c r="J26" s="87">
        <f>F26/F34</f>
        <v>0.22522460703569991</v>
      </c>
      <c r="K26" s="87">
        <f>G26/G34</f>
        <v>0</v>
      </c>
      <c r="M26" s="1"/>
    </row>
    <row r="27" spans="1:19" x14ac:dyDescent="0.25">
      <c r="A27" s="170" t="s">
        <v>12</v>
      </c>
      <c r="B27" s="171"/>
      <c r="C27" s="128">
        <v>801525</v>
      </c>
      <c r="D27" s="128">
        <v>865941</v>
      </c>
      <c r="E27" s="52">
        <v>713439</v>
      </c>
      <c r="F27" s="52">
        <v>607994</v>
      </c>
      <c r="G27" s="52"/>
      <c r="H27" s="52"/>
      <c r="I27" s="64"/>
      <c r="J27" s="64"/>
      <c r="K27" s="64"/>
      <c r="M27" s="1"/>
      <c r="S27" s="23"/>
    </row>
    <row r="28" spans="1:19" x14ac:dyDescent="0.25">
      <c r="A28" s="170" t="s">
        <v>13</v>
      </c>
      <c r="B28" s="171"/>
      <c r="C28" s="128">
        <v>1214500</v>
      </c>
      <c r="D28" s="128">
        <v>1232721</v>
      </c>
      <c r="E28" s="52">
        <v>1119966</v>
      </c>
      <c r="F28" s="52">
        <v>1037136</v>
      </c>
      <c r="G28" s="3"/>
      <c r="H28" s="52"/>
      <c r="I28" s="61"/>
      <c r="J28" s="61"/>
      <c r="K28" s="61"/>
      <c r="M28" s="1"/>
    </row>
    <row r="29" spans="1:19" x14ac:dyDescent="0.25">
      <c r="A29" s="170" t="s">
        <v>14</v>
      </c>
      <c r="B29" s="171"/>
      <c r="C29" s="128">
        <f>1093882+437360</f>
        <v>1531242</v>
      </c>
      <c r="D29" s="128">
        <v>512720</v>
      </c>
      <c r="E29" s="52">
        <v>255311</v>
      </c>
      <c r="F29" s="52">
        <v>342860</v>
      </c>
      <c r="G29" s="52"/>
      <c r="H29" s="52"/>
      <c r="I29" s="61"/>
      <c r="J29" s="61"/>
      <c r="K29" s="61"/>
      <c r="M29" s="1"/>
    </row>
    <row r="30" spans="1:19" x14ac:dyDescent="0.25">
      <c r="A30" s="170" t="s">
        <v>15</v>
      </c>
      <c r="B30" s="171"/>
      <c r="C30" s="128">
        <v>576178</v>
      </c>
      <c r="D30" s="128">
        <v>762911</v>
      </c>
      <c r="E30" s="70">
        <v>707999</v>
      </c>
      <c r="F30" s="70">
        <v>223252</v>
      </c>
      <c r="G30" s="70"/>
      <c r="H30" s="70"/>
      <c r="I30" s="61"/>
      <c r="J30" s="61"/>
      <c r="K30" s="61"/>
      <c r="M30" s="1"/>
    </row>
    <row r="31" spans="1:19" ht="21.6" thickBot="1" x14ac:dyDescent="0.3">
      <c r="A31" s="100"/>
      <c r="B31" s="95" t="s">
        <v>87</v>
      </c>
      <c r="C31" s="128">
        <v>190000</v>
      </c>
      <c r="D31" s="149">
        <v>190000</v>
      </c>
      <c r="E31" s="3">
        <v>140000</v>
      </c>
      <c r="F31" s="3">
        <v>140000</v>
      </c>
      <c r="G31" s="3"/>
      <c r="H31" s="101"/>
      <c r="I31" s="61"/>
      <c r="J31" s="61"/>
      <c r="K31" s="61"/>
      <c r="M31" s="1"/>
    </row>
    <row r="32" spans="1:19" ht="21.6" thickBot="1" x14ac:dyDescent="0.3">
      <c r="A32" s="7" t="s">
        <v>72</v>
      </c>
      <c r="B32" s="28"/>
      <c r="C32" s="5">
        <f>SUM(C25:C31)</f>
        <v>25260610</v>
      </c>
      <c r="D32" s="5">
        <f>SUM(D25:D31)</f>
        <v>26451850</v>
      </c>
      <c r="E32" s="5">
        <f>SUM(E25:E31)</f>
        <v>25639322</v>
      </c>
      <c r="F32" s="5">
        <f>SUM(F25:F31)</f>
        <v>20723850</v>
      </c>
      <c r="G32" s="5"/>
      <c r="H32" s="8"/>
      <c r="I32" s="71"/>
      <c r="J32" s="61"/>
      <c r="K32" s="61"/>
      <c r="L32" s="80">
        <f>C32-D32</f>
        <v>-1191240</v>
      </c>
      <c r="M32" s="81">
        <f>L32/D32</f>
        <v>-4.5034279265911456E-2</v>
      </c>
      <c r="N32" s="80">
        <f>D32-E32</f>
        <v>812528</v>
      </c>
      <c r="O32" s="81">
        <f>N32/E32</f>
        <v>3.1690697593329493E-2</v>
      </c>
      <c r="P32" s="80">
        <f>E32-F32</f>
        <v>4915472</v>
      </c>
      <c r="Q32" s="81">
        <f>P32/F32</f>
        <v>0.23718913232821121</v>
      </c>
    </row>
    <row r="33" spans="1:19" ht="21.6" thickBot="1" x14ac:dyDescent="0.3">
      <c r="A33" s="28" t="s">
        <v>73</v>
      </c>
      <c r="B33" s="50"/>
      <c r="C33" s="5">
        <v>6825872</v>
      </c>
      <c r="D33" s="5">
        <v>5957974</v>
      </c>
      <c r="E33" s="72">
        <v>5859523</v>
      </c>
      <c r="F33" s="72">
        <v>3380248</v>
      </c>
      <c r="G33" s="72"/>
      <c r="H33" s="73"/>
      <c r="I33" s="99" t="s">
        <v>83</v>
      </c>
      <c r="J33" s="65"/>
      <c r="K33" s="65"/>
      <c r="L33" s="80">
        <f>C33-D33</f>
        <v>867898</v>
      </c>
      <c r="M33" s="81">
        <f>L33/D33</f>
        <v>0.14566998781800658</v>
      </c>
      <c r="N33" s="80">
        <f>D33-E33</f>
        <v>98451</v>
      </c>
      <c r="O33" s="81">
        <f>N33/E33</f>
        <v>1.6801879606923635E-2</v>
      </c>
      <c r="P33" s="80">
        <f>E33-F33</f>
        <v>2479275</v>
      </c>
      <c r="Q33" s="81">
        <f>P33/F33</f>
        <v>0.73345949764632656</v>
      </c>
    </row>
    <row r="34" spans="1:19" ht="21.6" thickBot="1" x14ac:dyDescent="0.45">
      <c r="A34" s="175" t="s">
        <v>16</v>
      </c>
      <c r="B34" s="176"/>
      <c r="C34" s="150">
        <f>C32+C33</f>
        <v>32086482</v>
      </c>
      <c r="D34" s="150">
        <f>D32+D33</f>
        <v>32409824</v>
      </c>
      <c r="E34" s="9">
        <f>E33+E32</f>
        <v>31498845</v>
      </c>
      <c r="F34" s="9">
        <f>F33+F32</f>
        <v>24104098</v>
      </c>
      <c r="G34" s="103">
        <f>E34/E42</f>
        <v>0.70636923529429974</v>
      </c>
      <c r="H34" s="103">
        <f>F34/F42</f>
        <v>0.66816711672037055</v>
      </c>
      <c r="I34" s="97"/>
      <c r="J34" s="84">
        <f>F34/F42</f>
        <v>0.66816711672037055</v>
      </c>
      <c r="K34" s="84">
        <f>G34/G42</f>
        <v>1</v>
      </c>
    </row>
    <row r="35" spans="1:19" x14ac:dyDescent="0.4">
      <c r="A35" s="177" t="s">
        <v>17</v>
      </c>
      <c r="B35" s="178"/>
      <c r="C35" s="138"/>
      <c r="D35" s="123"/>
      <c r="E35" s="2"/>
      <c r="F35" s="2"/>
      <c r="G35" s="2"/>
      <c r="H35" s="2"/>
      <c r="I35" s="64"/>
      <c r="J35" s="64"/>
      <c r="K35" s="64"/>
    </row>
    <row r="36" spans="1:19" x14ac:dyDescent="0.25">
      <c r="A36" s="53" t="s">
        <v>18</v>
      </c>
      <c r="B36" s="54"/>
      <c r="C36" s="128">
        <v>535410</v>
      </c>
      <c r="D36" s="128">
        <v>535410</v>
      </c>
      <c r="E36" s="3">
        <v>535410</v>
      </c>
      <c r="F36" s="2">
        <v>535410</v>
      </c>
      <c r="G36" s="3"/>
      <c r="H36" s="2"/>
      <c r="I36" s="64"/>
      <c r="J36" s="64"/>
      <c r="K36" s="64"/>
      <c r="L36" s="64"/>
      <c r="M36" s="64"/>
      <c r="N36" s="64"/>
      <c r="O36" s="64"/>
      <c r="P36" s="64"/>
      <c r="Q36" s="64"/>
    </row>
    <row r="37" spans="1:19" x14ac:dyDescent="0.25">
      <c r="A37" s="167" t="s">
        <v>19</v>
      </c>
      <c r="B37" s="154"/>
      <c r="C37" s="128">
        <v>53635</v>
      </c>
      <c r="D37" s="128">
        <v>53635</v>
      </c>
      <c r="E37" s="3">
        <v>53635</v>
      </c>
      <c r="F37" s="3">
        <v>53635</v>
      </c>
      <c r="G37" s="3"/>
      <c r="H37" s="2"/>
      <c r="I37" s="64"/>
      <c r="J37" s="64"/>
      <c r="K37" s="64"/>
      <c r="L37" s="64"/>
      <c r="M37" s="64"/>
      <c r="N37" s="64"/>
      <c r="O37" s="64"/>
      <c r="P37" s="64"/>
      <c r="Q37" s="64"/>
    </row>
    <row r="38" spans="1:19" x14ac:dyDescent="0.25">
      <c r="A38" s="167" t="s">
        <v>20</v>
      </c>
      <c r="B38" s="154"/>
      <c r="C38" s="128">
        <v>12287249</v>
      </c>
      <c r="D38" s="128">
        <v>11933419</v>
      </c>
      <c r="E38" s="3">
        <v>11008705</v>
      </c>
      <c r="F38" s="2">
        <v>9944921</v>
      </c>
      <c r="G38" s="3"/>
      <c r="H38" s="2"/>
      <c r="I38" s="85"/>
      <c r="J38" s="88"/>
      <c r="K38" s="64"/>
      <c r="L38" s="64"/>
      <c r="M38" s="64"/>
      <c r="N38" s="64"/>
      <c r="O38" s="64"/>
      <c r="P38" s="64"/>
      <c r="Q38" s="64"/>
    </row>
    <row r="39" spans="1:19" x14ac:dyDescent="0.25">
      <c r="A39" s="167" t="s">
        <v>21</v>
      </c>
      <c r="B39" s="154"/>
      <c r="C39" s="128">
        <v>2114585</v>
      </c>
      <c r="D39" s="128">
        <v>539296</v>
      </c>
      <c r="E39" s="3">
        <v>1200025</v>
      </c>
      <c r="F39" s="3">
        <v>1163646</v>
      </c>
      <c r="G39" s="3"/>
      <c r="H39" s="3"/>
      <c r="I39" s="99" t="s">
        <v>84</v>
      </c>
      <c r="J39" s="61"/>
      <c r="K39" s="61"/>
      <c r="L39" s="61"/>
      <c r="M39" s="61"/>
      <c r="N39" s="61"/>
      <c r="O39" s="61"/>
      <c r="P39" s="61"/>
      <c r="Q39" s="61"/>
    </row>
    <row r="40" spans="1:19" x14ac:dyDescent="0.25">
      <c r="A40" s="92" t="s">
        <v>91</v>
      </c>
      <c r="B40" s="93"/>
      <c r="C40" s="128">
        <v>340482</v>
      </c>
      <c r="D40" s="128">
        <v>308928</v>
      </c>
      <c r="E40" s="3">
        <v>295986</v>
      </c>
      <c r="F40" s="3">
        <v>273244</v>
      </c>
      <c r="G40" s="3"/>
      <c r="H40" s="3"/>
      <c r="I40" s="99"/>
      <c r="J40" s="61"/>
      <c r="K40" s="61"/>
      <c r="L40" s="61"/>
      <c r="M40" s="61"/>
      <c r="N40" s="61"/>
      <c r="O40" s="61"/>
      <c r="P40" s="61"/>
      <c r="Q40" s="61"/>
    </row>
    <row r="41" spans="1:19" ht="14.4" thickBot="1" x14ac:dyDescent="0.3">
      <c r="A41" s="175" t="s">
        <v>22</v>
      </c>
      <c r="B41" s="176"/>
      <c r="C41" s="129">
        <f>SUM(C36:C40)</f>
        <v>15331361</v>
      </c>
      <c r="D41" s="129">
        <f>SUM(D36:D40)</f>
        <v>13370688</v>
      </c>
      <c r="E41" s="3">
        <f>SUM(E36:E40)</f>
        <v>13093761</v>
      </c>
      <c r="F41" s="3">
        <f>SUM(F36:F40)</f>
        <v>11970856</v>
      </c>
      <c r="G41" s="3">
        <f>SUM(G36:G39)</f>
        <v>0</v>
      </c>
      <c r="H41" s="3">
        <f>SUM(H36:H39)</f>
        <v>0</v>
      </c>
      <c r="I41" s="98"/>
      <c r="J41" s="86">
        <f>F41/F42</f>
        <v>0.3318328832796294</v>
      </c>
      <c r="K41" s="86">
        <f>G41/G42</f>
        <v>0</v>
      </c>
      <c r="L41" s="80">
        <f>C41-D41</f>
        <v>1960673</v>
      </c>
      <c r="M41" s="81">
        <f>L41/D41</f>
        <v>0.14663964935835763</v>
      </c>
      <c r="N41" s="80">
        <f>D41-E41</f>
        <v>276927</v>
      </c>
      <c r="O41" s="81">
        <f>N41/E41</f>
        <v>2.1149538318287617E-2</v>
      </c>
      <c r="P41" s="80">
        <f>E41-F41</f>
        <v>1122905</v>
      </c>
      <c r="Q41" s="81">
        <f>P41/F41</f>
        <v>9.3803233452979473E-2</v>
      </c>
    </row>
    <row r="42" spans="1:19" thickBot="1" x14ac:dyDescent="0.3">
      <c r="A42" s="208" t="s">
        <v>23</v>
      </c>
      <c r="B42" s="208"/>
      <c r="C42" s="209">
        <f t="shared" ref="C42:H42" si="3">C34+C41</f>
        <v>47417843</v>
      </c>
      <c r="D42" s="209">
        <f t="shared" si="3"/>
        <v>45780512</v>
      </c>
      <c r="E42" s="209">
        <f t="shared" si="3"/>
        <v>44592606</v>
      </c>
      <c r="F42" s="55">
        <f t="shared" si="3"/>
        <v>36074954</v>
      </c>
      <c r="G42" s="55">
        <f t="shared" si="3"/>
        <v>0.70636923529429974</v>
      </c>
      <c r="H42" s="55">
        <f t="shared" si="3"/>
        <v>0.66816711672037055</v>
      </c>
      <c r="I42" s="62"/>
      <c r="J42" s="62"/>
      <c r="K42" s="62"/>
      <c r="L42" s="80">
        <f>C42-D42</f>
        <v>1637331</v>
      </c>
      <c r="M42" s="81">
        <f>L42/D42</f>
        <v>3.576480315466983E-2</v>
      </c>
      <c r="N42" s="80">
        <f>D42-E42</f>
        <v>1187906</v>
      </c>
      <c r="O42" s="81">
        <f>N42/E42</f>
        <v>2.6639080030442717E-2</v>
      </c>
      <c r="P42" s="80">
        <f>E42-F42</f>
        <v>8517652</v>
      </c>
      <c r="Q42" s="81">
        <f>P42/F42</f>
        <v>0.23610985061824333</v>
      </c>
    </row>
    <row r="43" spans="1:19" ht="6" customHeight="1" x14ac:dyDescent="0.25">
      <c r="L43" s="152"/>
      <c r="M43" s="152"/>
      <c r="N43" s="152"/>
      <c r="O43" s="152"/>
      <c r="P43" s="152"/>
      <c r="Q43" s="152"/>
    </row>
    <row r="44" spans="1:19" ht="18.75" customHeight="1" x14ac:dyDescent="0.5">
      <c r="A44" s="1" t="s">
        <v>24</v>
      </c>
      <c r="C44" s="29">
        <f t="shared" ref="C44:D44" si="4">C21-C42</f>
        <v>0</v>
      </c>
      <c r="D44" s="29">
        <f t="shared" si="4"/>
        <v>0</v>
      </c>
      <c r="E44" s="29">
        <f>E21-E42</f>
        <v>0</v>
      </c>
      <c r="F44" s="29">
        <f>F21-F42</f>
        <v>0</v>
      </c>
      <c r="G44" s="29">
        <f>G21-G42</f>
        <v>0.29363076470570026</v>
      </c>
      <c r="H44" s="29">
        <f>H21-H42</f>
        <v>-0.66816711672037055</v>
      </c>
      <c r="I44" s="66"/>
      <c r="J44" s="66"/>
      <c r="K44" s="66"/>
      <c r="S44" s="11"/>
    </row>
    <row r="45" spans="1:19" x14ac:dyDescent="0.4">
      <c r="A45" s="179" t="s">
        <v>25</v>
      </c>
      <c r="B45" s="179"/>
      <c r="C45" s="179"/>
      <c r="D45" s="179"/>
      <c r="E45" s="179"/>
      <c r="F45" s="179"/>
    </row>
    <row r="46" spans="1:19" x14ac:dyDescent="0.25">
      <c r="A46" s="12" t="s">
        <v>26</v>
      </c>
      <c r="B46" s="12"/>
      <c r="C46" s="139">
        <v>86696110</v>
      </c>
      <c r="D46" s="139">
        <v>84388709</v>
      </c>
      <c r="E46" s="30">
        <v>75940955</v>
      </c>
      <c r="F46" s="30">
        <v>69424234</v>
      </c>
      <c r="G46" s="30"/>
      <c r="H46" s="30"/>
      <c r="I46" s="66"/>
      <c r="J46" s="66"/>
      <c r="K46" s="66"/>
      <c r="L46" s="80">
        <f>C46-D46</f>
        <v>2307401</v>
      </c>
      <c r="M46" s="81">
        <f>L46/D46</f>
        <v>2.7342532281184679E-2</v>
      </c>
      <c r="N46" s="80">
        <f>D46-E46</f>
        <v>8447754</v>
      </c>
      <c r="O46" s="81">
        <f>N46/E46</f>
        <v>0.11124108196953804</v>
      </c>
      <c r="P46" s="80">
        <f>E46-F46</f>
        <v>6516721</v>
      </c>
      <c r="Q46" s="81">
        <f>P46/F46</f>
        <v>9.3868100870943716E-2</v>
      </c>
    </row>
    <row r="47" spans="1:19" x14ac:dyDescent="0.25">
      <c r="A47" s="6" t="s">
        <v>69</v>
      </c>
      <c r="B47" s="6"/>
      <c r="C47" s="140">
        <v>74718847</v>
      </c>
      <c r="D47" s="140">
        <v>74173139</v>
      </c>
      <c r="E47" s="30">
        <v>66736353</v>
      </c>
      <c r="F47" s="30">
        <v>61058263</v>
      </c>
      <c r="G47" s="30"/>
      <c r="H47" s="30"/>
      <c r="L47" s="80">
        <f>C47-D47</f>
        <v>545708</v>
      </c>
      <c r="M47" s="81">
        <f>L47/D47</f>
        <v>7.3572186287006137E-3</v>
      </c>
      <c r="N47" s="80">
        <f>D47-E47</f>
        <v>7436786</v>
      </c>
      <c r="O47" s="81">
        <f>N47/E47</f>
        <v>0.11143530723052847</v>
      </c>
      <c r="P47" s="80">
        <f>E47-F47</f>
        <v>5678090</v>
      </c>
      <c r="Q47" s="81">
        <f>P47/F47</f>
        <v>9.299462056429611E-2</v>
      </c>
    </row>
    <row r="48" spans="1:19" x14ac:dyDescent="0.25">
      <c r="A48" s="37" t="s">
        <v>27</v>
      </c>
      <c r="B48" s="34"/>
      <c r="C48" s="141">
        <f>C46-C47</f>
        <v>11977263</v>
      </c>
      <c r="D48" s="141">
        <f>D46-D47</f>
        <v>10215570</v>
      </c>
      <c r="E48" s="32">
        <f>E46-E47</f>
        <v>9204602</v>
      </c>
      <c r="F48" s="32">
        <f>F46-F47</f>
        <v>8365971</v>
      </c>
      <c r="G48" s="32"/>
      <c r="H48" s="32"/>
      <c r="I48" s="66"/>
      <c r="J48" s="66"/>
      <c r="K48" s="66"/>
      <c r="L48" s="80">
        <f>C48-D48</f>
        <v>1761693</v>
      </c>
      <c r="M48" s="81">
        <f>L48/D48</f>
        <v>0.17245175746434119</v>
      </c>
      <c r="N48" s="80">
        <f>D48-E48</f>
        <v>1010968</v>
      </c>
      <c r="O48" s="81">
        <f>N48/E48</f>
        <v>0.10983288576735854</v>
      </c>
      <c r="P48" s="80">
        <f>E48-F48</f>
        <v>838631</v>
      </c>
      <c r="Q48" s="81">
        <f>P48/F48</f>
        <v>0.10024311583198173</v>
      </c>
    </row>
    <row r="49" spans="1:19" x14ac:dyDescent="0.25">
      <c r="A49" s="6" t="s">
        <v>88</v>
      </c>
      <c r="B49" s="6"/>
      <c r="C49" s="140">
        <v>6548572</v>
      </c>
      <c r="D49" s="140">
        <v>5990380</v>
      </c>
      <c r="E49" s="30">
        <v>5289167</v>
      </c>
      <c r="F49" s="30">
        <v>4799833</v>
      </c>
      <c r="G49" s="30"/>
      <c r="H49" s="30"/>
      <c r="L49" s="80">
        <f>C49-D49</f>
        <v>558192</v>
      </c>
      <c r="M49" s="81">
        <f>L49/D49</f>
        <v>9.3181400846023124E-2</v>
      </c>
      <c r="N49" s="80">
        <f>D49-E49</f>
        <v>701213</v>
      </c>
      <c r="O49" s="81">
        <f>N49/E49</f>
        <v>0.13257531857095833</v>
      </c>
      <c r="P49" s="80">
        <f>E49-F49</f>
        <v>489334</v>
      </c>
      <c r="Q49" s="81">
        <f>P49/F49</f>
        <v>0.10194813027869928</v>
      </c>
    </row>
    <row r="50" spans="1:19" x14ac:dyDescent="0.25">
      <c r="A50" s="6" t="s">
        <v>89</v>
      </c>
      <c r="B50" s="6"/>
      <c r="C50" s="140">
        <v>2874824</v>
      </c>
      <c r="D50" s="140">
        <v>2736050</v>
      </c>
      <c r="E50" s="30">
        <v>2105950</v>
      </c>
      <c r="F50" s="30">
        <v>1845377</v>
      </c>
      <c r="G50" s="30"/>
      <c r="H50" s="30"/>
      <c r="I50" s="66"/>
      <c r="J50" s="66"/>
      <c r="K50" s="66"/>
      <c r="L50" s="80">
        <f>C50-D50</f>
        <v>138774</v>
      </c>
      <c r="M50" s="81">
        <f>L50/D50</f>
        <v>5.0720564317172569E-2</v>
      </c>
      <c r="N50" s="80">
        <f>D50-E50</f>
        <v>630100</v>
      </c>
      <c r="O50" s="81">
        <f>N50/E50</f>
        <v>0.2991998860371804</v>
      </c>
      <c r="P50" s="80">
        <f>E50-F50</f>
        <v>260573</v>
      </c>
      <c r="Q50" s="81">
        <f>P50/F50</f>
        <v>0.14120312543182234</v>
      </c>
      <c r="S50" s="10"/>
    </row>
    <row r="51" spans="1:19" hidden="1" x14ac:dyDescent="0.25">
      <c r="A51" s="6"/>
      <c r="B51" s="6"/>
      <c r="C51" s="140"/>
      <c r="D51" s="140"/>
      <c r="E51" s="30"/>
      <c r="F51" s="30"/>
      <c r="G51" s="30"/>
      <c r="H51" s="30"/>
      <c r="L51" s="80"/>
      <c r="M51" s="81"/>
      <c r="N51" s="80"/>
      <c r="O51" s="81"/>
      <c r="P51" s="80"/>
      <c r="Q51" s="81"/>
    </row>
    <row r="52" spans="1:19" hidden="1" x14ac:dyDescent="0.25">
      <c r="A52" s="6"/>
      <c r="B52" s="6"/>
      <c r="C52" s="140"/>
      <c r="D52" s="140"/>
      <c r="E52" s="30"/>
      <c r="F52" s="30"/>
      <c r="G52" s="30"/>
      <c r="H52" s="30"/>
      <c r="I52" s="66"/>
      <c r="J52" s="66"/>
      <c r="K52" s="66"/>
      <c r="L52" s="80"/>
      <c r="M52" s="81"/>
      <c r="N52" s="80"/>
      <c r="O52" s="81"/>
      <c r="P52" s="80"/>
      <c r="Q52" s="81"/>
    </row>
    <row r="53" spans="1:19" hidden="1" x14ac:dyDescent="0.25">
      <c r="A53" s="6"/>
      <c r="B53" s="6"/>
      <c r="C53" s="140"/>
      <c r="D53" s="140"/>
      <c r="E53" s="30"/>
      <c r="F53" s="30"/>
      <c r="G53" s="30"/>
      <c r="H53" s="30"/>
      <c r="L53" s="80"/>
      <c r="M53" s="81"/>
      <c r="N53" s="80"/>
      <c r="O53" s="81"/>
      <c r="P53" s="80"/>
      <c r="Q53" s="81"/>
    </row>
    <row r="54" spans="1:19" x14ac:dyDescent="0.25">
      <c r="A54" s="6" t="s">
        <v>90</v>
      </c>
      <c r="B54" s="6"/>
      <c r="C54" s="140">
        <f>-322028+402274</f>
        <v>80246</v>
      </c>
      <c r="D54" s="140">
        <f>273944-171583</f>
        <v>102361</v>
      </c>
      <c r="E54" s="78">
        <f>67667-65829</f>
        <v>1838</v>
      </c>
      <c r="F54" s="78">
        <f>91962-206622</f>
        <v>-114660</v>
      </c>
      <c r="G54" s="78"/>
      <c r="H54" s="78"/>
      <c r="I54" s="66"/>
      <c r="J54" s="66"/>
      <c r="K54" s="66"/>
      <c r="L54" s="66"/>
      <c r="M54" s="66"/>
      <c r="N54" s="66"/>
      <c r="O54" s="66"/>
      <c r="P54" s="66"/>
      <c r="Q54" s="66"/>
      <c r="S54" s="10"/>
    </row>
    <row r="55" spans="1:19" x14ac:dyDescent="0.25">
      <c r="A55" s="35" t="s">
        <v>63</v>
      </c>
      <c r="B55" s="35"/>
      <c r="C55" s="142">
        <f>C48-C49-C50-C54</f>
        <v>2473621</v>
      </c>
      <c r="D55" s="142">
        <f>D48-D49-D50-D54</f>
        <v>1386779</v>
      </c>
      <c r="E55" s="32">
        <f>E48-E49-E50-E54</f>
        <v>1807647</v>
      </c>
      <c r="F55" s="32">
        <f>F48-F49-F50-F54</f>
        <v>1835421</v>
      </c>
      <c r="G55" s="32"/>
      <c r="H55" s="32"/>
      <c r="L55" s="80">
        <f>C55-D55</f>
        <v>1086842</v>
      </c>
      <c r="M55" s="81">
        <f>L55/D55</f>
        <v>0.78371679986501097</v>
      </c>
      <c r="N55" s="80">
        <f>D55-E55</f>
        <v>-420868</v>
      </c>
      <c r="O55" s="81">
        <f>N55/E55</f>
        <v>-0.23282643126672409</v>
      </c>
      <c r="P55" s="80">
        <f>E55-F55</f>
        <v>-27774</v>
      </c>
      <c r="Q55" s="81">
        <f>P55/F55</f>
        <v>-1.5132223070347348E-2</v>
      </c>
    </row>
    <row r="56" spans="1:19" x14ac:dyDescent="0.25">
      <c r="A56" s="127" t="s">
        <v>109</v>
      </c>
      <c r="B56" s="36"/>
      <c r="C56" s="144">
        <v>362845</v>
      </c>
      <c r="D56" s="144">
        <v>-150174</v>
      </c>
      <c r="E56" s="79"/>
      <c r="F56" s="79"/>
      <c r="G56" s="79"/>
      <c r="H56" s="79"/>
      <c r="I56" s="126"/>
      <c r="J56" s="126"/>
      <c r="K56" s="126"/>
      <c r="L56" s="152"/>
      <c r="M56" s="152"/>
      <c r="N56" s="152"/>
      <c r="O56" s="152"/>
      <c r="P56" s="152"/>
      <c r="Q56" s="152"/>
    </row>
    <row r="57" spans="1:19" x14ac:dyDescent="0.25">
      <c r="A57" s="6" t="s">
        <v>77</v>
      </c>
      <c r="B57" s="6"/>
      <c r="C57" s="140">
        <v>538864</v>
      </c>
      <c r="D57" s="140">
        <v>529606</v>
      </c>
      <c r="E57" s="31">
        <v>433587</v>
      </c>
      <c r="F57" s="31">
        <v>415914</v>
      </c>
      <c r="G57" s="31"/>
      <c r="H57" s="31"/>
      <c r="I57" s="66"/>
      <c r="J57" s="66"/>
      <c r="K57" s="66"/>
      <c r="L57" s="66"/>
      <c r="M57" s="66"/>
      <c r="N57" s="66"/>
      <c r="O57" s="66"/>
      <c r="P57" s="66"/>
      <c r="Q57" s="66"/>
    </row>
    <row r="58" spans="1:19" x14ac:dyDescent="0.25">
      <c r="A58" s="94" t="s">
        <v>92</v>
      </c>
      <c r="B58" s="94"/>
      <c r="C58" s="143">
        <v>66951</v>
      </c>
      <c r="D58" s="143">
        <v>50465</v>
      </c>
      <c r="E58" s="31">
        <v>76597</v>
      </c>
      <c r="F58" s="31">
        <v>79319</v>
      </c>
      <c r="G58" s="79"/>
      <c r="H58" s="31"/>
      <c r="L58" s="152"/>
      <c r="M58" s="152"/>
      <c r="N58" s="152"/>
      <c r="O58" s="152"/>
      <c r="P58" s="152"/>
      <c r="Q58" s="152"/>
    </row>
    <row r="59" spans="1:19" x14ac:dyDescent="0.25">
      <c r="A59" s="15" t="s">
        <v>93</v>
      </c>
      <c r="C59" s="10">
        <f>C55-C57-C58+C56</f>
        <v>2230651</v>
      </c>
      <c r="D59" s="10">
        <f>D55-D57-D58+D56</f>
        <v>656534</v>
      </c>
      <c r="E59" s="30">
        <f>E55-E57-E58</f>
        <v>1297463</v>
      </c>
      <c r="F59" s="30">
        <f>F55-F57-F58</f>
        <v>1340188</v>
      </c>
      <c r="G59" s="30"/>
      <c r="H59" s="30"/>
      <c r="I59" s="66"/>
      <c r="J59" s="66"/>
      <c r="K59" s="66"/>
      <c r="L59" s="80">
        <f>C59-D59</f>
        <v>1574117</v>
      </c>
      <c r="M59" s="81">
        <f>L59/D59</f>
        <v>2.3976168789430554</v>
      </c>
      <c r="N59" s="80">
        <f>D59-E59</f>
        <v>-640929</v>
      </c>
      <c r="O59" s="81">
        <f>N59/E59</f>
        <v>-0.49398634103631472</v>
      </c>
      <c r="P59" s="80">
        <f>E59-F59</f>
        <v>-42725</v>
      </c>
      <c r="Q59" s="81">
        <f>P59/F59</f>
        <v>-3.1879855662041448E-2</v>
      </c>
    </row>
    <row r="60" spans="1:19" x14ac:dyDescent="0.25">
      <c r="A60" s="1" t="s">
        <v>94</v>
      </c>
      <c r="B60" s="6"/>
      <c r="C60" s="140">
        <v>87605</v>
      </c>
      <c r="D60" s="140">
        <v>95485</v>
      </c>
      <c r="E60" s="30">
        <v>66257</v>
      </c>
      <c r="F60" s="30">
        <v>129032</v>
      </c>
      <c r="G60" s="30"/>
      <c r="H60" s="30"/>
      <c r="L60" s="152"/>
      <c r="M60" s="152"/>
      <c r="N60" s="152"/>
      <c r="O60" s="152"/>
      <c r="P60" s="152"/>
      <c r="Q60" s="152"/>
    </row>
    <row r="61" spans="1:19" x14ac:dyDescent="0.25">
      <c r="A61" s="33"/>
      <c r="B61" s="33"/>
      <c r="C61" s="143"/>
      <c r="D61" s="143"/>
      <c r="E61" s="30"/>
      <c r="F61" s="30"/>
      <c r="G61" s="30"/>
      <c r="H61" s="30"/>
      <c r="L61" s="152"/>
      <c r="M61" s="152"/>
      <c r="N61" s="152"/>
      <c r="O61" s="152"/>
      <c r="P61" s="152"/>
      <c r="Q61" s="152"/>
    </row>
    <row r="62" spans="1:19" x14ac:dyDescent="0.25">
      <c r="A62" s="37" t="s">
        <v>28</v>
      </c>
      <c r="B62" s="37"/>
      <c r="C62" s="30">
        <f t="shared" ref="C62:D62" si="5">C59-C60</f>
        <v>2143046</v>
      </c>
      <c r="D62" s="30">
        <f t="shared" si="5"/>
        <v>561049</v>
      </c>
      <c r="E62" s="30">
        <f>E59-E60</f>
        <v>1231206</v>
      </c>
      <c r="F62" s="30">
        <f>F59-F60</f>
        <v>1211156</v>
      </c>
      <c r="G62" s="30"/>
      <c r="H62" s="30"/>
      <c r="I62" s="66"/>
      <c r="J62" s="66"/>
      <c r="K62" s="66"/>
      <c r="L62" s="80">
        <f>C62-D62</f>
        <v>1581997</v>
      </c>
      <c r="M62" s="81">
        <f>L62/D62</f>
        <v>2.8197127167145828</v>
      </c>
      <c r="N62" s="80">
        <f>D62-E62</f>
        <v>-670157</v>
      </c>
      <c r="O62" s="81">
        <f>N62/E62</f>
        <v>-0.54430940070142608</v>
      </c>
      <c r="P62" s="80">
        <f>E62-F62</f>
        <v>20050</v>
      </c>
      <c r="Q62" s="81">
        <f>P62/F62</f>
        <v>1.655443229443606E-2</v>
      </c>
    </row>
    <row r="63" spans="1:19" ht="7.5" customHeight="1" x14ac:dyDescent="0.25">
      <c r="A63" s="74"/>
      <c r="B63" s="74"/>
      <c r="C63" s="27"/>
      <c r="D63" s="74"/>
      <c r="E63" s="27"/>
      <c r="F63" s="27"/>
      <c r="G63" s="27"/>
      <c r="H63" s="27"/>
      <c r="I63" s="66"/>
      <c r="J63" s="66"/>
      <c r="K63" s="66"/>
      <c r="L63" s="66"/>
      <c r="M63" s="66"/>
      <c r="N63" s="66"/>
      <c r="O63" s="66"/>
      <c r="P63" s="66"/>
    </row>
    <row r="64" spans="1:19" x14ac:dyDescent="0.4">
      <c r="A64" s="26" t="s">
        <v>29</v>
      </c>
      <c r="B64" s="24"/>
      <c r="C64" s="25"/>
      <c r="D64" s="24"/>
      <c r="E64" s="25"/>
      <c r="F64" s="25"/>
      <c r="G64" s="25"/>
      <c r="H64" s="25"/>
      <c r="I64" s="45"/>
      <c r="J64" s="45"/>
      <c r="K64" s="45"/>
      <c r="L64" s="45"/>
    </row>
    <row r="65" spans="1:17" x14ac:dyDescent="0.25">
      <c r="A65" s="167" t="s">
        <v>30</v>
      </c>
      <c r="B65" s="154"/>
      <c r="C65" s="210">
        <f>C16/C32</f>
        <v>1.0135280581110273</v>
      </c>
      <c r="D65" s="210">
        <f>D16/D32</f>
        <v>0.87066277027882732</v>
      </c>
      <c r="E65" s="38">
        <f>E16/E32</f>
        <v>0.8746442281118042</v>
      </c>
      <c r="F65" s="38">
        <f>F16/F32</f>
        <v>0.91801257970888617</v>
      </c>
      <c r="G65" s="38"/>
      <c r="H65" s="38"/>
      <c r="L65" s="155" t="s">
        <v>31</v>
      </c>
      <c r="M65" s="155"/>
      <c r="N65" s="155"/>
      <c r="O65" s="155"/>
      <c r="P65" s="155"/>
      <c r="Q65" s="155"/>
    </row>
    <row r="66" spans="1:17" x14ac:dyDescent="0.25">
      <c r="A66" s="193" t="s">
        <v>78</v>
      </c>
      <c r="B66" s="194"/>
      <c r="C66" s="211">
        <f>(C16-C15)/C32</f>
        <v>0.61675082272360016</v>
      </c>
      <c r="D66" s="211">
        <f>(D16-D15)/D32</f>
        <v>0.54848693002568816</v>
      </c>
      <c r="E66" s="38">
        <f>(E16-E15)/E32</f>
        <v>0.49293187237946462</v>
      </c>
      <c r="F66" s="38">
        <f>(F16-F15)/F32</f>
        <v>0.49690487047532189</v>
      </c>
      <c r="G66" s="38"/>
      <c r="H66" s="38"/>
      <c r="L66" s="155" t="s">
        <v>32</v>
      </c>
      <c r="M66" s="155"/>
      <c r="N66" s="155"/>
      <c r="O66" s="155"/>
      <c r="P66" s="155"/>
      <c r="Q66" s="155"/>
    </row>
    <row r="67" spans="1:17" x14ac:dyDescent="0.4">
      <c r="A67" s="13" t="s">
        <v>33</v>
      </c>
      <c r="B67" s="13"/>
      <c r="C67" s="145"/>
      <c r="D67" s="13"/>
      <c r="E67" s="14"/>
      <c r="F67" s="14"/>
      <c r="G67" s="14"/>
      <c r="H67" s="14"/>
    </row>
    <row r="68" spans="1:17" x14ac:dyDescent="0.25">
      <c r="A68" s="153" t="s">
        <v>34</v>
      </c>
      <c r="B68" s="154"/>
      <c r="C68" s="212">
        <f>C47/C15</f>
        <v>7.4548615237106066</v>
      </c>
      <c r="D68" s="212">
        <f>D47/D15</f>
        <v>8.7035742284191997</v>
      </c>
      <c r="E68" s="38">
        <f>E47/E15</f>
        <v>6.8189846861797969</v>
      </c>
      <c r="F68" s="38">
        <f>F47/F15</f>
        <v>6.9964995881160625</v>
      </c>
      <c r="G68" s="38"/>
      <c r="H68" s="38"/>
      <c r="L68" s="153" t="s">
        <v>105</v>
      </c>
      <c r="M68" s="153"/>
      <c r="N68" s="153"/>
      <c r="O68" s="153"/>
      <c r="P68" s="153"/>
      <c r="Q68" s="153"/>
    </row>
    <row r="69" spans="1:17" x14ac:dyDescent="0.25">
      <c r="A69" s="153" t="s">
        <v>35</v>
      </c>
      <c r="B69" s="154"/>
      <c r="C69" s="212">
        <f>C46/C20</f>
        <v>3.9740590935639997</v>
      </c>
      <c r="D69" s="212">
        <f>D46/D20</f>
        <v>3.7094148358028054</v>
      </c>
      <c r="E69" s="38">
        <f>E46/E20</f>
        <v>3.4258066186707903</v>
      </c>
      <c r="F69" s="38">
        <f>F46/F20</f>
        <v>4.0717550569351122</v>
      </c>
      <c r="G69" s="38"/>
      <c r="H69" s="38"/>
      <c r="L69" s="153" t="s">
        <v>104</v>
      </c>
      <c r="M69" s="153"/>
      <c r="N69" s="153"/>
      <c r="O69" s="153"/>
      <c r="P69" s="153"/>
      <c r="Q69" s="153"/>
    </row>
    <row r="70" spans="1:17" x14ac:dyDescent="0.25">
      <c r="A70" s="153" t="s">
        <v>95</v>
      </c>
      <c r="B70" s="154"/>
      <c r="C70" s="210">
        <f>C7/C46*360</f>
        <v>49.988491986549342</v>
      </c>
      <c r="D70" s="210">
        <f>D7/D46*360</f>
        <v>54.252697715757208</v>
      </c>
      <c r="E70" s="38">
        <f>(E7/E46)*360</f>
        <v>50.869190149109926</v>
      </c>
      <c r="F70" s="38">
        <f>(F7/F46)*360</f>
        <v>43.999293964122096</v>
      </c>
      <c r="G70" s="38"/>
      <c r="H70" s="38"/>
      <c r="L70" s="153" t="s">
        <v>103</v>
      </c>
      <c r="M70" s="153"/>
      <c r="N70" s="153"/>
      <c r="O70" s="153"/>
      <c r="P70" s="153"/>
      <c r="Q70" s="153"/>
    </row>
    <row r="71" spans="1:17" x14ac:dyDescent="0.25">
      <c r="A71" s="153" t="s">
        <v>42</v>
      </c>
      <c r="B71" s="154"/>
      <c r="C71" s="135"/>
      <c r="D71" s="118"/>
      <c r="E71" s="89">
        <f>E16-E32</f>
        <v>-3214037</v>
      </c>
      <c r="F71" s="89">
        <f>F16-F32</f>
        <v>-1699095</v>
      </c>
      <c r="G71" s="89"/>
      <c r="H71" s="89"/>
      <c r="L71" s="153" t="s">
        <v>43</v>
      </c>
      <c r="M71" s="153"/>
      <c r="N71" s="153"/>
      <c r="O71" s="153"/>
      <c r="P71" s="153"/>
      <c r="Q71" s="153"/>
    </row>
    <row r="72" spans="1:17" x14ac:dyDescent="0.4">
      <c r="A72" s="13" t="s">
        <v>75</v>
      </c>
      <c r="B72" s="15"/>
      <c r="C72" s="146"/>
      <c r="D72" s="15"/>
      <c r="E72" s="14"/>
      <c r="F72" s="14"/>
      <c r="G72" s="14"/>
      <c r="H72" s="14"/>
    </row>
    <row r="73" spans="1:17" x14ac:dyDescent="0.25">
      <c r="A73" s="153" t="s">
        <v>36</v>
      </c>
      <c r="B73" s="154"/>
      <c r="C73" s="213">
        <f>C48/C46</f>
        <v>0.13815225389005342</v>
      </c>
      <c r="D73" s="213">
        <f>D48/D46</f>
        <v>0.12105375376698795</v>
      </c>
      <c r="E73" s="39">
        <f>E48/E46</f>
        <v>0.12120735115854153</v>
      </c>
      <c r="F73" s="39">
        <f>F48/F46</f>
        <v>0.12050505303378645</v>
      </c>
      <c r="G73" s="39"/>
      <c r="H73" s="39"/>
      <c r="L73" s="153" t="s">
        <v>37</v>
      </c>
      <c r="M73" s="153"/>
      <c r="N73" s="153"/>
      <c r="O73" s="153"/>
      <c r="P73" s="153"/>
      <c r="Q73" s="153"/>
    </row>
    <row r="74" spans="1:17" x14ac:dyDescent="0.25">
      <c r="A74" s="153" t="s">
        <v>38</v>
      </c>
      <c r="B74" s="154"/>
      <c r="C74" s="213">
        <f>C62/C46</f>
        <v>2.4719056022236754E-2</v>
      </c>
      <c r="D74" s="213">
        <f>D62/D46</f>
        <v>6.6483894190157598E-3</v>
      </c>
      <c r="E74" s="215">
        <f>E62/E46</f>
        <v>1.6212674702339468E-2</v>
      </c>
      <c r="F74" s="215">
        <f>F62/F46</f>
        <v>1.7445723635928053E-2</v>
      </c>
      <c r="G74" s="39"/>
      <c r="H74" s="39"/>
      <c r="L74" s="153" t="s">
        <v>39</v>
      </c>
      <c r="M74" s="153"/>
      <c r="N74" s="153"/>
      <c r="O74" s="153"/>
      <c r="P74" s="153"/>
      <c r="Q74" s="153"/>
    </row>
    <row r="75" spans="1:17" x14ac:dyDescent="0.25">
      <c r="A75" s="191" t="s">
        <v>62</v>
      </c>
      <c r="B75" s="192"/>
      <c r="C75" s="216">
        <f>C62/C42</f>
        <v>4.519492799366686E-2</v>
      </c>
      <c r="D75" s="216">
        <f>D62/D42</f>
        <v>1.2255192777223636E-2</v>
      </c>
      <c r="E75" s="39">
        <f>E62/E42</f>
        <v>2.7610093027530168E-2</v>
      </c>
      <c r="F75" s="39">
        <f>F62/F42</f>
        <v>3.3573320703333395E-2</v>
      </c>
      <c r="G75" s="39"/>
      <c r="H75" s="38"/>
      <c r="L75" s="156" t="s">
        <v>40</v>
      </c>
      <c r="M75" s="156"/>
      <c r="N75" s="156"/>
      <c r="O75" s="156"/>
      <c r="P75" s="156"/>
      <c r="Q75" s="156"/>
    </row>
    <row r="76" spans="1:17" x14ac:dyDescent="0.25">
      <c r="A76" s="191"/>
      <c r="B76" s="192"/>
      <c r="C76" s="147"/>
      <c r="D76" s="116"/>
      <c r="E76" s="151"/>
      <c r="F76" s="151"/>
      <c r="G76" s="151"/>
      <c r="H76" s="151"/>
      <c r="L76" s="153" t="s">
        <v>41</v>
      </c>
      <c r="M76" s="153"/>
      <c r="N76" s="153"/>
      <c r="O76" s="153"/>
      <c r="P76" s="153"/>
      <c r="Q76" s="153"/>
    </row>
    <row r="77" spans="1:17" x14ac:dyDescent="0.4">
      <c r="A77" s="195" t="s">
        <v>67</v>
      </c>
      <c r="B77" s="195"/>
      <c r="C77" s="148"/>
      <c r="D77" s="117"/>
      <c r="E77" s="14"/>
      <c r="F77" s="14"/>
      <c r="G77" s="14"/>
      <c r="H77" s="14"/>
    </row>
    <row r="78" spans="1:17" x14ac:dyDescent="0.25">
      <c r="A78" s="153" t="s">
        <v>68</v>
      </c>
      <c r="B78" s="154"/>
      <c r="C78" s="214">
        <f>C34/C42</f>
        <v>0.67667527601371491</v>
      </c>
      <c r="D78" s="214">
        <f>D34/D42</f>
        <v>0.70793930832403096</v>
      </c>
      <c r="E78" s="39">
        <f>E34/E42</f>
        <v>0.70636923529429974</v>
      </c>
      <c r="F78" s="39">
        <f>F34/F42</f>
        <v>0.66816711672037055</v>
      </c>
      <c r="G78" s="39"/>
      <c r="H78" s="30"/>
      <c r="L78" s="153" t="s">
        <v>79</v>
      </c>
      <c r="M78" s="153"/>
      <c r="N78" s="153"/>
      <c r="O78" s="153"/>
      <c r="P78" s="153"/>
      <c r="Q78" s="153"/>
    </row>
    <row r="79" spans="1:17" x14ac:dyDescent="0.25">
      <c r="A79" s="153" t="s">
        <v>44</v>
      </c>
      <c r="B79" s="154"/>
      <c r="C79" s="214">
        <f>C41/C42</f>
        <v>0.32332472398628509</v>
      </c>
      <c r="D79" s="214">
        <f>D41/D42</f>
        <v>0.29206069167596904</v>
      </c>
      <c r="E79" s="39">
        <f>E41/E42</f>
        <v>0.29363076470570032</v>
      </c>
      <c r="F79" s="39">
        <f>F41/F42</f>
        <v>0.3318328832796294</v>
      </c>
      <c r="G79" s="39"/>
      <c r="H79" s="30"/>
      <c r="L79" s="153" t="s">
        <v>45</v>
      </c>
      <c r="M79" s="153"/>
      <c r="N79" s="153"/>
      <c r="O79" s="153"/>
      <c r="P79" s="153"/>
      <c r="Q79" s="153"/>
    </row>
    <row r="80" spans="1:17" ht="12" customHeight="1" x14ac:dyDescent="0.4"/>
    <row r="102" spans="7:7" x14ac:dyDescent="0.4">
      <c r="G102" s="45"/>
    </row>
  </sheetData>
  <mergeCells count="67">
    <mergeCell ref="A76:B76"/>
    <mergeCell ref="A77:B77"/>
    <mergeCell ref="A74:B74"/>
    <mergeCell ref="A75:B75"/>
    <mergeCell ref="A66:B66"/>
    <mergeCell ref="A68:B68"/>
    <mergeCell ref="A69:B69"/>
    <mergeCell ref="A37:B37"/>
    <mergeCell ref="A38:B38"/>
    <mergeCell ref="A39:B39"/>
    <mergeCell ref="A41:B41"/>
    <mergeCell ref="A70:B70"/>
    <mergeCell ref="A65:B65"/>
    <mergeCell ref="A35:B35"/>
    <mergeCell ref="A45:F45"/>
    <mergeCell ref="L2:Q2"/>
    <mergeCell ref="P3:Q3"/>
    <mergeCell ref="N3:O3"/>
    <mergeCell ref="A22:H22"/>
    <mergeCell ref="A5:B5"/>
    <mergeCell ref="A2:F2"/>
    <mergeCell ref="I2:K2"/>
    <mergeCell ref="I5:K6"/>
    <mergeCell ref="I9:K13"/>
    <mergeCell ref="G3:K3"/>
    <mergeCell ref="L3:M3"/>
    <mergeCell ref="A12:B12"/>
    <mergeCell ref="A13:B13"/>
    <mergeCell ref="A14:B14"/>
    <mergeCell ref="A24:H24"/>
    <mergeCell ref="A34:B34"/>
    <mergeCell ref="A26:B26"/>
    <mergeCell ref="A27:B27"/>
    <mergeCell ref="A25:B25"/>
    <mergeCell ref="A28:B28"/>
    <mergeCell ref="A29:B29"/>
    <mergeCell ref="A30:B30"/>
    <mergeCell ref="A3:B3"/>
    <mergeCell ref="A23:H23"/>
    <mergeCell ref="A17:B17"/>
    <mergeCell ref="A21:B21"/>
    <mergeCell ref="A16:B16"/>
    <mergeCell ref="A18:B18"/>
    <mergeCell ref="A19:B19"/>
    <mergeCell ref="A6:B6"/>
    <mergeCell ref="A7:B7"/>
    <mergeCell ref="A8:B8"/>
    <mergeCell ref="A9:B9"/>
    <mergeCell ref="A10:B10"/>
    <mergeCell ref="A11:B11"/>
    <mergeCell ref="A15:B15"/>
    <mergeCell ref="A78:B78"/>
    <mergeCell ref="L79:Q79"/>
    <mergeCell ref="L66:Q66"/>
    <mergeCell ref="L65:Q65"/>
    <mergeCell ref="L68:Q68"/>
    <mergeCell ref="L69:Q69"/>
    <mergeCell ref="L70:Q70"/>
    <mergeCell ref="L71:Q71"/>
    <mergeCell ref="L73:Q73"/>
    <mergeCell ref="L74:Q74"/>
    <mergeCell ref="L75:Q75"/>
    <mergeCell ref="L76:Q76"/>
    <mergeCell ref="L78:Q78"/>
    <mergeCell ref="A79:B79"/>
    <mergeCell ref="A71:B71"/>
    <mergeCell ref="A73:B7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1048576"/>
    </sheetView>
  </sheetViews>
  <sheetFormatPr defaultRowHeight="14.4" x14ac:dyDescent="0.3"/>
  <cols>
    <col min="8" max="8" width="10.88671875" bestFit="1" customWidth="1"/>
    <col min="10" max="11" width="0" hidden="1" customWidth="1"/>
  </cols>
  <sheetData>
    <row r="1" spans="1:15" s="1" customFormat="1" ht="21.6" thickBot="1" x14ac:dyDescent="0.45">
      <c r="A1" s="42" t="s">
        <v>46</v>
      </c>
      <c r="B1" s="42">
        <v>2015</v>
      </c>
      <c r="C1" s="42"/>
      <c r="D1" s="42"/>
      <c r="E1" s="16"/>
      <c r="F1" s="16"/>
      <c r="G1" s="16"/>
      <c r="H1" s="16"/>
      <c r="I1" s="49"/>
      <c r="J1" s="76"/>
      <c r="K1" s="76"/>
      <c r="L1" s="16"/>
      <c r="M1" s="44"/>
      <c r="N1" s="197" t="s">
        <v>26</v>
      </c>
      <c r="O1" s="198"/>
    </row>
    <row r="2" spans="1:15" s="1" customFormat="1" ht="25.8" thickBot="1" x14ac:dyDescent="0.5">
      <c r="A2" s="16"/>
      <c r="B2" s="16"/>
      <c r="C2" s="16"/>
      <c r="D2" s="16"/>
      <c r="E2" s="16"/>
      <c r="F2" s="16"/>
      <c r="G2" s="44"/>
      <c r="H2" s="16"/>
      <c r="I2" s="49"/>
      <c r="J2" s="76"/>
      <c r="K2" s="76"/>
      <c r="L2" s="19" t="s">
        <v>27</v>
      </c>
      <c r="M2" s="44" t="s">
        <v>47</v>
      </c>
      <c r="N2" s="40" t="s">
        <v>48</v>
      </c>
      <c r="O2" s="16"/>
    </row>
    <row r="3" spans="1:15" s="1" customFormat="1" ht="33.75" customHeight="1" thickBot="1" x14ac:dyDescent="0.5">
      <c r="A3" s="16"/>
      <c r="B3" s="16"/>
      <c r="C3" s="16"/>
      <c r="D3" s="16"/>
      <c r="E3" s="16"/>
      <c r="F3" s="16"/>
      <c r="G3" s="44"/>
      <c r="H3" s="17" t="s">
        <v>49</v>
      </c>
      <c r="I3" s="49" t="s">
        <v>47</v>
      </c>
      <c r="J3" s="76"/>
      <c r="K3" s="76"/>
      <c r="L3" s="40" t="s">
        <v>48</v>
      </c>
      <c r="M3" s="44"/>
      <c r="N3" s="203" t="s">
        <v>76</v>
      </c>
      <c r="O3" s="198"/>
    </row>
    <row r="4" spans="1:15" s="1" customFormat="1" ht="21.6" thickBot="1" x14ac:dyDescent="0.45">
      <c r="A4" s="18"/>
      <c r="B4" s="18"/>
      <c r="C4" s="18"/>
      <c r="D4" s="18"/>
      <c r="E4" s="197" t="s">
        <v>50</v>
      </c>
      <c r="F4" s="198"/>
      <c r="G4" s="57" t="s">
        <v>47</v>
      </c>
      <c r="H4" s="41" t="s">
        <v>51</v>
      </c>
      <c r="I4" s="49"/>
      <c r="J4" s="76"/>
      <c r="K4" s="76"/>
      <c r="L4" s="19" t="s">
        <v>52</v>
      </c>
      <c r="M4" s="44"/>
      <c r="N4" s="16"/>
      <c r="O4" s="16"/>
    </row>
    <row r="5" spans="1:15" s="1" customFormat="1" ht="21.6" thickBot="1" x14ac:dyDescent="0.45">
      <c r="A5" s="18"/>
      <c r="B5" s="199" t="s">
        <v>53</v>
      </c>
      <c r="C5" s="124"/>
      <c r="D5" s="124"/>
      <c r="E5" s="16"/>
      <c r="F5" s="16"/>
      <c r="G5" s="202"/>
      <c r="H5" s="17" t="s">
        <v>26</v>
      </c>
      <c r="I5" s="49"/>
      <c r="J5" s="76"/>
      <c r="K5" s="76"/>
      <c r="L5" s="16"/>
      <c r="M5" s="44"/>
      <c r="N5" s="16"/>
      <c r="O5" s="16"/>
    </row>
    <row r="6" spans="1:15" s="1" customFormat="1" ht="21.6" thickBot="1" x14ac:dyDescent="0.45">
      <c r="A6" s="18"/>
      <c r="B6" s="200"/>
      <c r="C6" s="124"/>
      <c r="D6" s="124"/>
      <c r="E6" s="16"/>
      <c r="F6" s="56" t="s">
        <v>54</v>
      </c>
      <c r="G6" s="202"/>
      <c r="H6" s="16"/>
      <c r="I6" s="49"/>
      <c r="J6" s="76"/>
      <c r="K6" s="76"/>
      <c r="L6" s="16"/>
      <c r="M6" s="44"/>
      <c r="N6" s="197" t="s">
        <v>55</v>
      </c>
      <c r="O6" s="198"/>
    </row>
    <row r="7" spans="1:15" s="1" customFormat="1" ht="21.6" thickBot="1" x14ac:dyDescent="0.45">
      <c r="A7" s="16"/>
      <c r="B7" s="201"/>
      <c r="C7" s="124"/>
      <c r="D7" s="124"/>
      <c r="E7" s="16"/>
      <c r="F7" s="16"/>
      <c r="G7" s="57"/>
      <c r="H7" s="17" t="s">
        <v>26</v>
      </c>
      <c r="I7" s="49"/>
      <c r="J7" s="76"/>
      <c r="K7" s="76"/>
      <c r="L7" s="19" t="s">
        <v>57</v>
      </c>
      <c r="M7" s="44"/>
      <c r="N7" s="204" t="s">
        <v>58</v>
      </c>
      <c r="O7" s="204"/>
    </row>
    <row r="8" spans="1:15" s="1" customFormat="1" ht="21.6" thickBot="1" x14ac:dyDescent="0.45">
      <c r="A8" s="16"/>
      <c r="B8" s="16"/>
      <c r="C8" s="16"/>
      <c r="D8" s="16"/>
      <c r="E8" s="197" t="s">
        <v>56</v>
      </c>
      <c r="F8" s="198"/>
      <c r="G8" s="41" t="s">
        <v>47</v>
      </c>
      <c r="H8" s="41" t="s">
        <v>51</v>
      </c>
      <c r="I8" s="49"/>
      <c r="J8" s="76"/>
      <c r="K8" s="76"/>
      <c r="L8" s="41" t="s">
        <v>58</v>
      </c>
      <c r="M8" s="44" t="s">
        <v>47</v>
      </c>
      <c r="N8" s="197" t="s">
        <v>59</v>
      </c>
      <c r="O8" s="198"/>
    </row>
    <row r="9" spans="1:15" s="1" customFormat="1" ht="21.6" thickBot="1" x14ac:dyDescent="0.45">
      <c r="A9" s="16"/>
      <c r="B9" s="16"/>
      <c r="C9" s="16"/>
      <c r="D9" s="16"/>
      <c r="E9" s="16"/>
      <c r="F9" s="16"/>
      <c r="G9" s="44"/>
      <c r="H9" s="17" t="s">
        <v>60</v>
      </c>
      <c r="I9" s="49"/>
      <c r="J9" s="76"/>
      <c r="K9" s="76"/>
      <c r="L9" s="19" t="s">
        <v>61</v>
      </c>
      <c r="M9" s="44"/>
      <c r="N9" s="205" t="s">
        <v>58</v>
      </c>
      <c r="O9" s="205"/>
    </row>
    <row r="10" spans="1:15" s="1" customFormat="1" ht="21.6" thickBot="1" x14ac:dyDescent="0.45">
      <c r="A10" s="16"/>
      <c r="B10" s="16"/>
      <c r="C10" s="16"/>
      <c r="D10" s="16"/>
      <c r="E10" s="16"/>
      <c r="F10" s="16"/>
      <c r="G10" s="44"/>
      <c r="H10" s="16"/>
      <c r="I10" s="49"/>
      <c r="J10" s="76"/>
      <c r="K10" s="76"/>
      <c r="L10" s="16"/>
      <c r="M10" s="44"/>
      <c r="N10" s="197" t="s">
        <v>80</v>
      </c>
      <c r="O10" s="198"/>
    </row>
    <row r="11" spans="1:15" s="1" customFormat="1" ht="21.6" thickBot="1" x14ac:dyDescent="0.45">
      <c r="A11" s="43" t="s">
        <v>46</v>
      </c>
      <c r="B11" s="96" t="s">
        <v>82</v>
      </c>
      <c r="C11" s="96"/>
      <c r="D11" s="96"/>
      <c r="E11" s="20"/>
      <c r="F11" s="20"/>
      <c r="G11" s="46"/>
      <c r="H11" s="20"/>
      <c r="I11" s="59"/>
      <c r="J11" s="77"/>
      <c r="K11" s="77"/>
      <c r="L11" s="20"/>
      <c r="M11" s="46"/>
      <c r="N11" s="20"/>
      <c r="O11" s="20"/>
    </row>
    <row r="12" spans="1:15" s="1" customFormat="1" ht="21.6" thickBot="1" x14ac:dyDescent="0.45">
      <c r="A12" s="20"/>
      <c r="B12" s="20"/>
      <c r="C12" s="20"/>
      <c r="D12" s="20"/>
      <c r="E12" s="20"/>
      <c r="F12" s="20"/>
      <c r="G12" s="46"/>
      <c r="H12" s="20"/>
      <c r="I12" s="59"/>
      <c r="J12" s="77"/>
      <c r="K12" s="77"/>
      <c r="L12" s="20"/>
      <c r="M12" s="46"/>
      <c r="N12" s="206">
        <f>'Muutused, suhtarvud'!E46</f>
        <v>75940955</v>
      </c>
      <c r="O12" s="207"/>
    </row>
    <row r="13" spans="1:15" s="1" customFormat="1" ht="21.6" thickBot="1" x14ac:dyDescent="0.45">
      <c r="A13" s="20"/>
      <c r="B13" s="20"/>
      <c r="C13" s="20"/>
      <c r="D13" s="20"/>
      <c r="E13" s="20"/>
      <c r="F13" s="20"/>
      <c r="G13" s="46"/>
      <c r="H13" s="21">
        <f>'Muutused, suhtarvud'!E62</f>
        <v>1231206</v>
      </c>
      <c r="I13" s="59"/>
      <c r="J13" s="77"/>
      <c r="K13" s="77"/>
      <c r="L13" s="21">
        <f>N12-N14</f>
        <v>9204602</v>
      </c>
      <c r="M13" s="46" t="s">
        <v>47</v>
      </c>
      <c r="N13" s="22"/>
      <c r="O13" s="22"/>
    </row>
    <row r="14" spans="1:15" s="1" customFormat="1" ht="21.6" thickBot="1" x14ac:dyDescent="0.45">
      <c r="A14" s="20"/>
      <c r="B14" s="20"/>
      <c r="C14" s="20"/>
      <c r="D14" s="20"/>
      <c r="E14" s="20"/>
      <c r="F14" s="90">
        <f>H13/H15</f>
        <v>1.6212674702339468E-2</v>
      </c>
      <c r="G14" s="58" t="s">
        <v>47</v>
      </c>
      <c r="H14" s="22" t="s">
        <v>51</v>
      </c>
      <c r="I14" s="59" t="s">
        <v>47</v>
      </c>
      <c r="J14" s="77"/>
      <c r="K14" s="77"/>
      <c r="L14" s="22"/>
      <c r="M14" s="46"/>
      <c r="N14" s="206">
        <f>'Muutused, suhtarvud'!E47</f>
        <v>66736353</v>
      </c>
      <c r="O14" s="207"/>
    </row>
    <row r="15" spans="1:15" s="1" customFormat="1" ht="21.6" thickBot="1" x14ac:dyDescent="0.45">
      <c r="A15" s="20"/>
      <c r="B15" s="20"/>
      <c r="C15" s="20"/>
      <c r="D15" s="20"/>
      <c r="E15" s="20"/>
      <c r="F15" s="22"/>
      <c r="G15" s="48"/>
      <c r="H15" s="21">
        <f>'Muutused, suhtarvud'!E46</f>
        <v>75940955</v>
      </c>
      <c r="I15" s="59"/>
      <c r="J15" s="77"/>
      <c r="K15" s="77"/>
      <c r="L15" s="21">
        <f>L13-H13</f>
        <v>7973396</v>
      </c>
      <c r="M15" s="46"/>
      <c r="N15" s="22"/>
      <c r="O15" s="22"/>
    </row>
    <row r="16" spans="1:15" s="1" customFormat="1" ht="21.6" thickBot="1" x14ac:dyDescent="0.45">
      <c r="A16" s="20"/>
      <c r="B16" s="113">
        <f>F14*F19</f>
        <v>2.7610093027530168E-2</v>
      </c>
      <c r="C16" s="125"/>
      <c r="D16" s="125"/>
      <c r="E16" s="22" t="s">
        <v>47</v>
      </c>
      <c r="F16" s="196" t="s">
        <v>54</v>
      </c>
      <c r="G16" s="196"/>
      <c r="H16" s="22"/>
      <c r="I16" s="59"/>
      <c r="J16" s="77"/>
      <c r="K16" s="77"/>
      <c r="L16" s="22"/>
      <c r="M16" s="46"/>
      <c r="N16" s="22"/>
      <c r="O16" s="22"/>
    </row>
    <row r="17" spans="1:15" s="1" customFormat="1" ht="21.6" thickBot="1" x14ac:dyDescent="0.45">
      <c r="A17" s="20"/>
      <c r="B17" s="20"/>
      <c r="C17" s="20"/>
      <c r="D17" s="20"/>
      <c r="E17" s="20"/>
      <c r="F17" s="196"/>
      <c r="G17" s="196"/>
      <c r="H17" s="22"/>
      <c r="I17" s="59"/>
      <c r="J17" s="77"/>
      <c r="K17" s="77"/>
      <c r="L17" s="22"/>
      <c r="M17" s="46"/>
      <c r="N17" s="206">
        <f>'Muutused, suhtarvud'!E6</f>
        <v>489650</v>
      </c>
      <c r="O17" s="207"/>
    </row>
    <row r="18" spans="1:15" s="1" customFormat="1" ht="21.6" thickBot="1" x14ac:dyDescent="0.45">
      <c r="A18" s="20"/>
      <c r="B18" s="20"/>
      <c r="C18" s="20"/>
      <c r="D18" s="20"/>
      <c r="E18" s="20"/>
      <c r="F18" s="48"/>
      <c r="G18" s="48"/>
      <c r="H18" s="21">
        <f>'Muutused, suhtarvud'!E46</f>
        <v>75940955</v>
      </c>
      <c r="I18" s="59" t="s">
        <v>47</v>
      </c>
      <c r="J18" s="77"/>
      <c r="K18" s="77"/>
      <c r="L18" s="21">
        <f>N17+N19+N21</f>
        <v>22425285</v>
      </c>
      <c r="M18" s="46"/>
      <c r="N18" s="22"/>
      <c r="O18" s="20"/>
    </row>
    <row r="19" spans="1:15" s="1" customFormat="1" ht="21.6" thickBot="1" x14ac:dyDescent="0.45">
      <c r="A19" s="20"/>
      <c r="B19" s="20"/>
      <c r="C19" s="20"/>
      <c r="D19" s="20"/>
      <c r="E19" s="20"/>
      <c r="F19" s="91">
        <f>H18/H20</f>
        <v>1.7029943260100115</v>
      </c>
      <c r="G19" s="48" t="s">
        <v>47</v>
      </c>
      <c r="H19" s="22" t="s">
        <v>51</v>
      </c>
      <c r="I19" s="59"/>
      <c r="J19" s="77"/>
      <c r="K19" s="77"/>
      <c r="L19" s="22"/>
      <c r="M19" s="46" t="s">
        <v>47</v>
      </c>
      <c r="N19" s="206">
        <f>'Muutused, suhtarvud'!E9</f>
        <v>12148789</v>
      </c>
      <c r="O19" s="207"/>
    </row>
    <row r="20" spans="1:15" s="1" customFormat="1" ht="21.6" thickBot="1" x14ac:dyDescent="0.45">
      <c r="A20" s="20"/>
      <c r="B20" s="20"/>
      <c r="C20" s="20"/>
      <c r="D20" s="20"/>
      <c r="E20" s="20"/>
      <c r="F20" s="20"/>
      <c r="G20" s="46"/>
      <c r="H20" s="21">
        <f>L18+L20</f>
        <v>44592606</v>
      </c>
      <c r="I20" s="59"/>
      <c r="J20" s="77"/>
      <c r="K20" s="77"/>
      <c r="L20" s="21">
        <f>'Muutused, suhtarvud'!E20</f>
        <v>22167321</v>
      </c>
      <c r="M20" s="46"/>
      <c r="N20" s="22"/>
      <c r="O20" s="20"/>
    </row>
    <row r="21" spans="1:15" s="1" customFormat="1" ht="21.6" thickBot="1" x14ac:dyDescent="0.45">
      <c r="A21" s="20"/>
      <c r="B21" s="20"/>
      <c r="C21" s="20"/>
      <c r="D21" s="20"/>
      <c r="E21" s="20"/>
      <c r="F21" s="20"/>
      <c r="G21" s="46"/>
      <c r="H21" s="20"/>
      <c r="I21" s="59"/>
      <c r="J21" s="77"/>
      <c r="K21" s="77"/>
      <c r="L21" s="20"/>
      <c r="M21" s="46"/>
      <c r="N21" s="206">
        <f>'Muutused, suhtarvud'!E14</f>
        <v>9786846</v>
      </c>
      <c r="O21" s="207"/>
    </row>
  </sheetData>
  <mergeCells count="18">
    <mergeCell ref="N12:O12"/>
    <mergeCell ref="N14:O14"/>
    <mergeCell ref="N17:O17"/>
    <mergeCell ref="N19:O19"/>
    <mergeCell ref="N21:O21"/>
    <mergeCell ref="N1:O1"/>
    <mergeCell ref="N3:O3"/>
    <mergeCell ref="N6:O6"/>
    <mergeCell ref="N8:O8"/>
    <mergeCell ref="N10:O10"/>
    <mergeCell ref="N7:O7"/>
    <mergeCell ref="N9:O9"/>
    <mergeCell ref="F16:F17"/>
    <mergeCell ref="G16:G17"/>
    <mergeCell ref="E4:F4"/>
    <mergeCell ref="E8:F8"/>
    <mergeCell ref="B5:B7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Muutused, suhtarvud</vt:lpstr>
      <vt:lpstr>Du Pont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cp:lastPrinted>2016-03-07T09:48:20Z</cp:lastPrinted>
  <dcterms:created xsi:type="dcterms:W3CDTF">2015-02-16T18:10:42Z</dcterms:created>
  <dcterms:modified xsi:type="dcterms:W3CDTF">2021-04-14T12:28:21Z</dcterms:modified>
</cp:coreProperties>
</file>