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xr:revisionPtr revIDLastSave="0" documentId="8_{C9FD9636-4680-4EF8-A6D0-11FA758CE231}" xr6:coauthVersionLast="47" xr6:coauthVersionMax="47" xr10:uidLastSave="{00000000-0000-0000-0000-000000000000}"/>
  <bookViews>
    <workbookView xWindow="-120" yWindow="-120" windowWidth="22920" windowHeight="12345" tabRatio="702" activeTab="3" xr2:uid="{00000000-000D-0000-FFFF-FFFF00000000}"/>
  </bookViews>
  <sheets>
    <sheet name="Help" sheetId="11" r:id="rId1"/>
    <sheet name="Data" sheetId="9" r:id="rId2"/>
    <sheet name="Check fractions" sheetId="4" r:id="rId3"/>
    <sheet name="Sumo forms" sheetId="12" r:id="rId4"/>
    <sheet name="Fractionation tree" sheetId="14" r:id="rId5"/>
    <sheet name="Balances" sheetId="6" r:id="rId6"/>
    <sheet name="Diurnal flow" sheetId="8" r:id="rId7"/>
    <sheet name="Birthday Cake" sheetId="13" r:id="rId8"/>
    <sheet name="Calculations" sheetId="10" r:id="rId9"/>
  </sheets>
  <definedNames>
    <definedName name="A_SFHAO_H">Balances!$K$15</definedName>
    <definedName name="A_SFHAO_L">Balances!$K$16</definedName>
    <definedName name="A_SFHFO_H">Balances!$K$12</definedName>
    <definedName name="A_SFHFO_L">Balances!$K$13</definedName>
    <definedName name="AM_Al">Balances!$K$21</definedName>
    <definedName name="AM_Fe">Balances!$K$20</definedName>
    <definedName name="AM_P">Balances!$K$22</definedName>
    <definedName name="ASF_H">Balances!$K$12</definedName>
    <definedName name="ASF_L">Balances!$K$13</definedName>
    <definedName name="f_H2O_HAO_TSS">Balances!$K$17</definedName>
    <definedName name="f_H2O_HFO_TSS">Balances!$K$14</definedName>
    <definedName name="i_CV_PHA">Balances!$K$19</definedName>
    <definedName name="i_N_BIO">Balances!$K$3</definedName>
    <definedName name="i_N_CB">Balances!$K$5</definedName>
    <definedName name="i_N_CU">Balances!$K$7</definedName>
    <definedName name="i_N_SU">Balances!$K$6</definedName>
    <definedName name="i_N_XE">Balances!$K$4</definedName>
    <definedName name="i_N_XSTR">Balances!$K$7</definedName>
    <definedName name="i_P_BIO">Balances!$K$8</definedName>
    <definedName name="i_P_CB">Balances!$K$9</definedName>
    <definedName name="i_P_CU">Balances!$K$11</definedName>
    <definedName name="i_P_SU">Balances!$K$10</definedName>
    <definedName name="i_TSS_PP">Balances!$K$18</definedName>
    <definedName name="MM_HAO">Balances!$K$24</definedName>
    <definedName name="MM_HFO">Balances!$K$23</definedName>
    <definedName name="MM_PO4">Balances!$K$25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9" l="1"/>
  <c r="C24" i="9"/>
  <c r="C23" i="9"/>
  <c r="C5" i="9"/>
  <c r="G20" i="6"/>
  <c r="C29" i="6"/>
  <c r="G19" i="6"/>
  <c r="C28" i="6"/>
  <c r="C30" i="6" l="1"/>
  <c r="K18" i="6" l="1"/>
  <c r="C31" i="6" l="1"/>
  <c r="B41" i="14"/>
  <c r="R35" i="14" l="1"/>
  <c r="T29" i="14" l="1"/>
  <c r="E35" i="14"/>
  <c r="H41" i="14" s="1"/>
  <c r="K35" i="14"/>
  <c r="H29" i="14"/>
  <c r="W35" i="14" l="1"/>
  <c r="R37" i="14"/>
  <c r="E37" i="14"/>
  <c r="K37" i="14"/>
  <c r="W37" i="14"/>
  <c r="W36" i="14"/>
  <c r="R36" i="14"/>
  <c r="K36" i="14"/>
  <c r="B43" i="14"/>
  <c r="E36" i="14"/>
  <c r="B42" i="14"/>
  <c r="H42" i="14" l="1"/>
  <c r="H43" i="14"/>
  <c r="N15" i="14"/>
  <c r="K10" i="14"/>
  <c r="J15" i="14"/>
  <c r="J16" i="14" l="1"/>
  <c r="N16" i="14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1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199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75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79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1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199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75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79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" i="13"/>
  <c r="A8" i="13" l="1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7" i="13"/>
  <c r="E103" i="13"/>
  <c r="F103" i="13"/>
  <c r="G103" i="13"/>
  <c r="E104" i="13"/>
  <c r="F104" i="13"/>
  <c r="G104" i="13"/>
  <c r="E105" i="13"/>
  <c r="F105" i="13"/>
  <c r="G105" i="13"/>
  <c r="E106" i="13"/>
  <c r="F106" i="13"/>
  <c r="G106" i="13"/>
  <c r="E107" i="13"/>
  <c r="F107" i="13"/>
  <c r="G107" i="13"/>
  <c r="E108" i="13"/>
  <c r="F108" i="13"/>
  <c r="G108" i="13"/>
  <c r="E109" i="13"/>
  <c r="F109" i="13"/>
  <c r="G109" i="13"/>
  <c r="E110" i="13"/>
  <c r="F110" i="13"/>
  <c r="G110" i="13"/>
  <c r="E111" i="13"/>
  <c r="F111" i="13"/>
  <c r="G111" i="13"/>
  <c r="E112" i="13"/>
  <c r="F112" i="13"/>
  <c r="G112" i="13"/>
  <c r="E113" i="13"/>
  <c r="F113" i="13"/>
  <c r="G113" i="13"/>
  <c r="E114" i="13"/>
  <c r="F114" i="13"/>
  <c r="G114" i="13"/>
  <c r="E115" i="13"/>
  <c r="F115" i="13"/>
  <c r="G115" i="13"/>
  <c r="E116" i="13"/>
  <c r="F116" i="13"/>
  <c r="G116" i="13"/>
  <c r="E117" i="13"/>
  <c r="F117" i="13"/>
  <c r="G117" i="13"/>
  <c r="E118" i="13"/>
  <c r="F118" i="13"/>
  <c r="G118" i="13"/>
  <c r="E119" i="13"/>
  <c r="F119" i="13"/>
  <c r="G119" i="13"/>
  <c r="E120" i="13"/>
  <c r="F120" i="13"/>
  <c r="G120" i="13"/>
  <c r="E121" i="13"/>
  <c r="F121" i="13"/>
  <c r="G121" i="13"/>
  <c r="E122" i="13"/>
  <c r="F122" i="13"/>
  <c r="G122" i="13"/>
  <c r="E123" i="13"/>
  <c r="F123" i="13"/>
  <c r="G123" i="13"/>
  <c r="E124" i="13"/>
  <c r="F124" i="13"/>
  <c r="G124" i="13"/>
  <c r="E125" i="13"/>
  <c r="F125" i="13"/>
  <c r="G125" i="13"/>
  <c r="E126" i="13"/>
  <c r="F126" i="13"/>
  <c r="G126" i="13"/>
  <c r="E127" i="13"/>
  <c r="F127" i="13"/>
  <c r="G127" i="13"/>
  <c r="E128" i="13"/>
  <c r="F128" i="13"/>
  <c r="G128" i="13"/>
  <c r="E129" i="13"/>
  <c r="F129" i="13"/>
  <c r="G129" i="13"/>
  <c r="E130" i="13"/>
  <c r="F130" i="13"/>
  <c r="G130" i="13"/>
  <c r="E131" i="13"/>
  <c r="F131" i="13"/>
  <c r="G131" i="13"/>
  <c r="E132" i="13"/>
  <c r="F132" i="13"/>
  <c r="G132" i="13"/>
  <c r="E133" i="13"/>
  <c r="F133" i="13"/>
  <c r="G133" i="13"/>
  <c r="E134" i="13"/>
  <c r="F134" i="13"/>
  <c r="G134" i="13"/>
  <c r="E135" i="13"/>
  <c r="F135" i="13"/>
  <c r="G135" i="13"/>
  <c r="E136" i="13"/>
  <c r="F136" i="13"/>
  <c r="G136" i="13"/>
  <c r="E137" i="13"/>
  <c r="F137" i="13"/>
  <c r="G137" i="13"/>
  <c r="E138" i="13"/>
  <c r="F138" i="13"/>
  <c r="G138" i="13"/>
  <c r="E139" i="13"/>
  <c r="F139" i="13"/>
  <c r="G139" i="13"/>
  <c r="E140" i="13"/>
  <c r="F140" i="13"/>
  <c r="G140" i="13"/>
  <c r="E141" i="13"/>
  <c r="F141" i="13"/>
  <c r="G141" i="13"/>
  <c r="E142" i="13"/>
  <c r="F142" i="13"/>
  <c r="G142" i="13"/>
  <c r="E143" i="13"/>
  <c r="F143" i="13"/>
  <c r="G143" i="13"/>
  <c r="E144" i="13"/>
  <c r="F144" i="13"/>
  <c r="G144" i="13"/>
  <c r="E145" i="13"/>
  <c r="F145" i="13"/>
  <c r="G145" i="13"/>
  <c r="E146" i="13"/>
  <c r="F146" i="13"/>
  <c r="G146" i="13"/>
  <c r="E147" i="13"/>
  <c r="F147" i="13"/>
  <c r="G147" i="13"/>
  <c r="E148" i="13"/>
  <c r="F148" i="13"/>
  <c r="G148" i="13"/>
  <c r="E149" i="13"/>
  <c r="F149" i="13"/>
  <c r="G149" i="13"/>
  <c r="E150" i="13"/>
  <c r="F150" i="13"/>
  <c r="G150" i="13"/>
  <c r="E151" i="13"/>
  <c r="F151" i="13"/>
  <c r="G151" i="13"/>
  <c r="E152" i="13"/>
  <c r="F152" i="13"/>
  <c r="G152" i="13"/>
  <c r="E153" i="13"/>
  <c r="F153" i="13"/>
  <c r="G153" i="13"/>
  <c r="E154" i="13"/>
  <c r="F154" i="13"/>
  <c r="G154" i="13"/>
  <c r="E155" i="13"/>
  <c r="F155" i="13"/>
  <c r="G155" i="13"/>
  <c r="E156" i="13"/>
  <c r="F156" i="13"/>
  <c r="G156" i="13"/>
  <c r="E157" i="13"/>
  <c r="F157" i="13"/>
  <c r="G157" i="13"/>
  <c r="E158" i="13"/>
  <c r="F158" i="13"/>
  <c r="G158" i="13"/>
  <c r="E159" i="13"/>
  <c r="F159" i="13"/>
  <c r="G159" i="13"/>
  <c r="E160" i="13"/>
  <c r="F160" i="13"/>
  <c r="G160" i="13"/>
  <c r="E161" i="13"/>
  <c r="F161" i="13"/>
  <c r="G161" i="13"/>
  <c r="E162" i="13"/>
  <c r="F162" i="13"/>
  <c r="G162" i="13"/>
  <c r="E163" i="13"/>
  <c r="F163" i="13"/>
  <c r="G163" i="13"/>
  <c r="E164" i="13"/>
  <c r="F164" i="13"/>
  <c r="G164" i="13"/>
  <c r="E165" i="13"/>
  <c r="F165" i="13"/>
  <c r="G165" i="13"/>
  <c r="E166" i="13"/>
  <c r="F166" i="13"/>
  <c r="G166" i="13"/>
  <c r="E167" i="13"/>
  <c r="F167" i="13"/>
  <c r="G167" i="13"/>
  <c r="E168" i="13"/>
  <c r="F168" i="13"/>
  <c r="G168" i="13"/>
  <c r="E169" i="13"/>
  <c r="F169" i="13"/>
  <c r="G169" i="13"/>
  <c r="E170" i="13"/>
  <c r="F170" i="13"/>
  <c r="G170" i="13"/>
  <c r="E171" i="13"/>
  <c r="F171" i="13"/>
  <c r="G171" i="13"/>
  <c r="E172" i="13"/>
  <c r="F172" i="13"/>
  <c r="G172" i="13"/>
  <c r="E173" i="13"/>
  <c r="F173" i="13"/>
  <c r="G173" i="13"/>
  <c r="E174" i="13"/>
  <c r="F174" i="13"/>
  <c r="G174" i="13"/>
  <c r="E175" i="13"/>
  <c r="F175" i="13"/>
  <c r="G175" i="13"/>
  <c r="E176" i="13"/>
  <c r="F176" i="13"/>
  <c r="G176" i="13"/>
  <c r="E177" i="13"/>
  <c r="F177" i="13"/>
  <c r="G177" i="13"/>
  <c r="E178" i="13"/>
  <c r="F178" i="13"/>
  <c r="G178" i="13"/>
  <c r="E179" i="13"/>
  <c r="F179" i="13"/>
  <c r="G179" i="13"/>
  <c r="E180" i="13"/>
  <c r="F180" i="13"/>
  <c r="G180" i="13"/>
  <c r="E181" i="13"/>
  <c r="F181" i="13"/>
  <c r="G181" i="13"/>
  <c r="E182" i="13"/>
  <c r="F182" i="13"/>
  <c r="G182" i="13"/>
  <c r="E183" i="13"/>
  <c r="F183" i="13"/>
  <c r="G183" i="13"/>
  <c r="E184" i="13"/>
  <c r="F184" i="13"/>
  <c r="G184" i="13"/>
  <c r="E185" i="13"/>
  <c r="F185" i="13"/>
  <c r="G185" i="13"/>
  <c r="E186" i="13"/>
  <c r="F186" i="13"/>
  <c r="G186" i="13"/>
  <c r="E187" i="13"/>
  <c r="F187" i="13"/>
  <c r="G187" i="13"/>
  <c r="E188" i="13"/>
  <c r="F188" i="13"/>
  <c r="G188" i="13"/>
  <c r="E189" i="13"/>
  <c r="F189" i="13"/>
  <c r="G189" i="13"/>
  <c r="E190" i="13"/>
  <c r="F190" i="13"/>
  <c r="G190" i="13"/>
  <c r="E191" i="13"/>
  <c r="F191" i="13"/>
  <c r="G191" i="13"/>
  <c r="E192" i="13"/>
  <c r="F192" i="13"/>
  <c r="G192" i="13"/>
  <c r="E193" i="13"/>
  <c r="F193" i="13"/>
  <c r="G193" i="13"/>
  <c r="E194" i="13"/>
  <c r="F194" i="13"/>
  <c r="G194" i="13"/>
  <c r="E195" i="13"/>
  <c r="F195" i="13"/>
  <c r="G195" i="13"/>
  <c r="E196" i="13"/>
  <c r="F196" i="13"/>
  <c r="G196" i="13"/>
  <c r="E197" i="13"/>
  <c r="F197" i="13"/>
  <c r="G197" i="13"/>
  <c r="E198" i="13"/>
  <c r="F198" i="13"/>
  <c r="G198" i="13"/>
  <c r="E199" i="13"/>
  <c r="F199" i="13"/>
  <c r="G199" i="13"/>
  <c r="E200" i="13"/>
  <c r="F200" i="13"/>
  <c r="G200" i="13"/>
  <c r="E201" i="13"/>
  <c r="F201" i="13"/>
  <c r="G201" i="13"/>
  <c r="E202" i="13"/>
  <c r="F202" i="13"/>
  <c r="G202" i="13"/>
  <c r="E203" i="13"/>
  <c r="F203" i="13"/>
  <c r="G203" i="13"/>
  <c r="E204" i="13"/>
  <c r="F204" i="13"/>
  <c r="G204" i="13"/>
  <c r="E205" i="13"/>
  <c r="F205" i="13"/>
  <c r="G205" i="13"/>
  <c r="E206" i="13"/>
  <c r="F206" i="13"/>
  <c r="G206" i="13"/>
  <c r="E207" i="13"/>
  <c r="F207" i="13"/>
  <c r="G207" i="13"/>
  <c r="E208" i="13"/>
  <c r="F208" i="13"/>
  <c r="G208" i="13"/>
  <c r="E209" i="13"/>
  <c r="F209" i="13"/>
  <c r="G209" i="13"/>
  <c r="E210" i="13"/>
  <c r="F210" i="13"/>
  <c r="G210" i="13"/>
  <c r="E211" i="13"/>
  <c r="F211" i="13"/>
  <c r="G211" i="13"/>
  <c r="E212" i="13"/>
  <c r="F212" i="13"/>
  <c r="G212" i="13"/>
  <c r="E213" i="13"/>
  <c r="F213" i="13"/>
  <c r="G213" i="13"/>
  <c r="E214" i="13"/>
  <c r="F214" i="13"/>
  <c r="G214" i="13"/>
  <c r="E215" i="13"/>
  <c r="F215" i="13"/>
  <c r="G215" i="13"/>
  <c r="E216" i="13"/>
  <c r="F216" i="13"/>
  <c r="G216" i="13"/>
  <c r="E217" i="13"/>
  <c r="F217" i="13"/>
  <c r="G217" i="13"/>
  <c r="E218" i="13"/>
  <c r="F218" i="13"/>
  <c r="G218" i="13"/>
  <c r="E219" i="13"/>
  <c r="F219" i="13"/>
  <c r="G219" i="13"/>
  <c r="E220" i="13"/>
  <c r="F220" i="13"/>
  <c r="G220" i="13"/>
  <c r="E221" i="13"/>
  <c r="F221" i="13"/>
  <c r="G221" i="13"/>
  <c r="E222" i="13"/>
  <c r="F222" i="13"/>
  <c r="G222" i="13"/>
  <c r="E223" i="13"/>
  <c r="F223" i="13"/>
  <c r="G223" i="13"/>
  <c r="E224" i="13"/>
  <c r="F224" i="13"/>
  <c r="G224" i="13"/>
  <c r="E225" i="13"/>
  <c r="F225" i="13"/>
  <c r="G225" i="13"/>
  <c r="E226" i="13"/>
  <c r="F226" i="13"/>
  <c r="G226" i="13"/>
  <c r="E227" i="13"/>
  <c r="F227" i="13"/>
  <c r="G227" i="13"/>
  <c r="E228" i="13"/>
  <c r="F228" i="13"/>
  <c r="G228" i="13"/>
  <c r="E229" i="13"/>
  <c r="F229" i="13"/>
  <c r="G229" i="13"/>
  <c r="E230" i="13"/>
  <c r="F230" i="13"/>
  <c r="G230" i="13"/>
  <c r="E231" i="13"/>
  <c r="F231" i="13"/>
  <c r="G231" i="13"/>
  <c r="E232" i="13"/>
  <c r="F232" i="13"/>
  <c r="G232" i="13"/>
  <c r="E233" i="13"/>
  <c r="F233" i="13"/>
  <c r="G233" i="13"/>
  <c r="E234" i="13"/>
  <c r="F234" i="13"/>
  <c r="G234" i="13"/>
  <c r="E235" i="13"/>
  <c r="F235" i="13"/>
  <c r="G235" i="13"/>
  <c r="E236" i="13"/>
  <c r="F236" i="13"/>
  <c r="G236" i="13"/>
  <c r="E237" i="13"/>
  <c r="F237" i="13"/>
  <c r="G237" i="13"/>
  <c r="E238" i="13"/>
  <c r="F238" i="13"/>
  <c r="G238" i="13"/>
  <c r="E239" i="13"/>
  <c r="F239" i="13"/>
  <c r="G239" i="13"/>
  <c r="E240" i="13"/>
  <c r="F240" i="13"/>
  <c r="G240" i="13"/>
  <c r="E241" i="13"/>
  <c r="F241" i="13"/>
  <c r="G241" i="13"/>
  <c r="E242" i="13"/>
  <c r="F242" i="13"/>
  <c r="G242" i="13"/>
  <c r="E243" i="13"/>
  <c r="F243" i="13"/>
  <c r="G243" i="13"/>
  <c r="E244" i="13"/>
  <c r="F244" i="13"/>
  <c r="G244" i="13"/>
  <c r="E245" i="13"/>
  <c r="F245" i="13"/>
  <c r="G245" i="13"/>
  <c r="E246" i="13"/>
  <c r="F246" i="13"/>
  <c r="G246" i="13"/>
  <c r="E247" i="13"/>
  <c r="F247" i="13"/>
  <c r="G247" i="13"/>
  <c r="E248" i="13"/>
  <c r="F248" i="13"/>
  <c r="G248" i="13"/>
  <c r="E249" i="13"/>
  <c r="F249" i="13"/>
  <c r="G249" i="13"/>
  <c r="E250" i="13"/>
  <c r="F250" i="13"/>
  <c r="G250" i="13"/>
  <c r="E251" i="13"/>
  <c r="F251" i="13"/>
  <c r="G251" i="13"/>
  <c r="E252" i="13"/>
  <c r="F252" i="13"/>
  <c r="G252" i="13"/>
  <c r="E253" i="13"/>
  <c r="F253" i="13"/>
  <c r="G253" i="13"/>
  <c r="E254" i="13"/>
  <c r="F254" i="13"/>
  <c r="G254" i="13"/>
  <c r="E255" i="13"/>
  <c r="F255" i="13"/>
  <c r="G255" i="13"/>
  <c r="E256" i="13"/>
  <c r="F256" i="13"/>
  <c r="G256" i="13"/>
  <c r="E257" i="13"/>
  <c r="F257" i="13"/>
  <c r="G257" i="13"/>
  <c r="E258" i="13"/>
  <c r="F258" i="13"/>
  <c r="G258" i="13"/>
  <c r="E259" i="13"/>
  <c r="F259" i="13"/>
  <c r="G259" i="13"/>
  <c r="E260" i="13"/>
  <c r="F260" i="13"/>
  <c r="G260" i="13"/>
  <c r="E261" i="13"/>
  <c r="F261" i="13"/>
  <c r="G261" i="13"/>
  <c r="E262" i="13"/>
  <c r="F262" i="13"/>
  <c r="G262" i="13"/>
  <c r="E263" i="13"/>
  <c r="F263" i="13"/>
  <c r="G263" i="13"/>
  <c r="E264" i="13"/>
  <c r="F264" i="13"/>
  <c r="G264" i="13"/>
  <c r="E265" i="13"/>
  <c r="F265" i="13"/>
  <c r="G265" i="13"/>
  <c r="E266" i="13"/>
  <c r="F266" i="13"/>
  <c r="G266" i="13"/>
  <c r="E267" i="13"/>
  <c r="F267" i="13"/>
  <c r="G267" i="13"/>
  <c r="E268" i="13"/>
  <c r="F268" i="13"/>
  <c r="G268" i="13"/>
  <c r="E269" i="13"/>
  <c r="F269" i="13"/>
  <c r="G269" i="13"/>
  <c r="E270" i="13"/>
  <c r="F270" i="13"/>
  <c r="G270" i="13"/>
  <c r="E271" i="13"/>
  <c r="F271" i="13"/>
  <c r="G271" i="13"/>
  <c r="E272" i="13"/>
  <c r="F272" i="13"/>
  <c r="G272" i="13"/>
  <c r="E273" i="13"/>
  <c r="F273" i="13"/>
  <c r="G273" i="13"/>
  <c r="E274" i="13"/>
  <c r="F274" i="13"/>
  <c r="G274" i="13"/>
  <c r="E275" i="13"/>
  <c r="F275" i="13"/>
  <c r="G275" i="13"/>
  <c r="E276" i="13"/>
  <c r="F276" i="13"/>
  <c r="G276" i="13"/>
  <c r="E277" i="13"/>
  <c r="F277" i="13"/>
  <c r="G277" i="13"/>
  <c r="E278" i="13"/>
  <c r="F278" i="13"/>
  <c r="G278" i="13"/>
  <c r="E279" i="13"/>
  <c r="F279" i="13"/>
  <c r="G279" i="13"/>
  <c r="E280" i="13"/>
  <c r="F280" i="13"/>
  <c r="G280" i="13"/>
  <c r="E281" i="13"/>
  <c r="F281" i="13"/>
  <c r="G281" i="13"/>
  <c r="E282" i="13"/>
  <c r="F282" i="13"/>
  <c r="G282" i="13"/>
  <c r="E283" i="13"/>
  <c r="F283" i="13"/>
  <c r="G283" i="13"/>
  <c r="E284" i="13"/>
  <c r="F284" i="13"/>
  <c r="G284" i="13"/>
  <c r="E285" i="13"/>
  <c r="F285" i="13"/>
  <c r="G285" i="13"/>
  <c r="E286" i="13"/>
  <c r="F286" i="13"/>
  <c r="G286" i="13"/>
  <c r="E287" i="13"/>
  <c r="F287" i="13"/>
  <c r="G287" i="13"/>
  <c r="E288" i="13"/>
  <c r="F288" i="13"/>
  <c r="G288" i="13"/>
  <c r="E289" i="13"/>
  <c r="F289" i="13"/>
  <c r="G289" i="13"/>
  <c r="E290" i="13"/>
  <c r="F290" i="13"/>
  <c r="G290" i="13"/>
  <c r="E291" i="13"/>
  <c r="F291" i="13"/>
  <c r="G291" i="13"/>
  <c r="E292" i="13"/>
  <c r="F292" i="13"/>
  <c r="G292" i="13"/>
  <c r="E293" i="13"/>
  <c r="F293" i="13"/>
  <c r="G293" i="13"/>
  <c r="E294" i="13"/>
  <c r="F294" i="13"/>
  <c r="G294" i="13"/>
  <c r="E295" i="13"/>
  <c r="F295" i="13"/>
  <c r="G295" i="13"/>
  <c r="E296" i="13"/>
  <c r="F296" i="13"/>
  <c r="G296" i="13"/>
  <c r="E297" i="13"/>
  <c r="F297" i="13"/>
  <c r="G297" i="13"/>
  <c r="E298" i="13"/>
  <c r="F298" i="13"/>
  <c r="G298" i="13"/>
  <c r="E299" i="13"/>
  <c r="F299" i="13"/>
  <c r="G299" i="13"/>
  <c r="E300" i="13"/>
  <c r="F300" i="13"/>
  <c r="G300" i="13"/>
  <c r="E301" i="13"/>
  <c r="F301" i="13"/>
  <c r="G301" i="13"/>
  <c r="E302" i="13"/>
  <c r="F302" i="13"/>
  <c r="G302" i="13"/>
  <c r="E303" i="13"/>
  <c r="F303" i="13"/>
  <c r="G303" i="13"/>
  <c r="E304" i="13"/>
  <c r="F304" i="13"/>
  <c r="G304" i="13"/>
  <c r="E305" i="13"/>
  <c r="F305" i="13"/>
  <c r="G305" i="13"/>
  <c r="E306" i="13"/>
  <c r="F306" i="13"/>
  <c r="G306" i="13"/>
  <c r="E307" i="13"/>
  <c r="F307" i="13"/>
  <c r="G307" i="13"/>
  <c r="E308" i="13"/>
  <c r="F308" i="13"/>
  <c r="G308" i="13"/>
  <c r="E309" i="13"/>
  <c r="F309" i="13"/>
  <c r="G309" i="13"/>
  <c r="E310" i="13"/>
  <c r="F310" i="13"/>
  <c r="G310" i="13"/>
  <c r="E311" i="13"/>
  <c r="F311" i="13"/>
  <c r="G311" i="13"/>
  <c r="E312" i="13"/>
  <c r="F312" i="13"/>
  <c r="G312" i="13"/>
  <c r="E313" i="13"/>
  <c r="F313" i="13"/>
  <c r="G313" i="13"/>
  <c r="E314" i="13"/>
  <c r="F314" i="13"/>
  <c r="G314" i="13"/>
  <c r="E315" i="13"/>
  <c r="F315" i="13"/>
  <c r="G315" i="13"/>
  <c r="E316" i="13"/>
  <c r="F316" i="13"/>
  <c r="G316" i="13"/>
  <c r="E317" i="13"/>
  <c r="F317" i="13"/>
  <c r="G317" i="13"/>
  <c r="E318" i="13"/>
  <c r="F318" i="13"/>
  <c r="G318" i="13"/>
  <c r="E319" i="13"/>
  <c r="F319" i="13"/>
  <c r="G319" i="13"/>
  <c r="E320" i="13"/>
  <c r="F320" i="13"/>
  <c r="G320" i="13"/>
  <c r="E321" i="13"/>
  <c r="F321" i="13"/>
  <c r="G321" i="13"/>
  <c r="E322" i="13"/>
  <c r="F322" i="13"/>
  <c r="G322" i="13"/>
  <c r="E323" i="13"/>
  <c r="F323" i="13"/>
  <c r="G323" i="13"/>
  <c r="E324" i="13"/>
  <c r="F324" i="13"/>
  <c r="G324" i="13"/>
  <c r="E325" i="13"/>
  <c r="F325" i="13"/>
  <c r="G325" i="13"/>
  <c r="E326" i="13"/>
  <c r="F326" i="13"/>
  <c r="G326" i="13"/>
  <c r="E327" i="13"/>
  <c r="F327" i="13"/>
  <c r="G327" i="13"/>
  <c r="E328" i="13"/>
  <c r="F328" i="13"/>
  <c r="G328" i="13"/>
  <c r="E329" i="13"/>
  <c r="F329" i="13"/>
  <c r="G329" i="13"/>
  <c r="E330" i="13"/>
  <c r="F330" i="13"/>
  <c r="G330" i="13"/>
  <c r="E331" i="13"/>
  <c r="F331" i="13"/>
  <c r="G331" i="13"/>
  <c r="E332" i="13"/>
  <c r="F332" i="13"/>
  <c r="G332" i="13"/>
  <c r="E333" i="13"/>
  <c r="F333" i="13"/>
  <c r="G333" i="13"/>
  <c r="E334" i="13"/>
  <c r="F334" i="13"/>
  <c r="G334" i="13"/>
  <c r="E335" i="13"/>
  <c r="F335" i="13"/>
  <c r="G335" i="13"/>
  <c r="E336" i="13"/>
  <c r="F336" i="13"/>
  <c r="G336" i="13"/>
  <c r="E337" i="13"/>
  <c r="F337" i="13"/>
  <c r="G337" i="13"/>
  <c r="E338" i="13"/>
  <c r="F338" i="13"/>
  <c r="G338" i="13"/>
  <c r="E339" i="13"/>
  <c r="F339" i="13"/>
  <c r="G339" i="13"/>
  <c r="E340" i="13"/>
  <c r="F340" i="13"/>
  <c r="G340" i="13"/>
  <c r="E341" i="13"/>
  <c r="F341" i="13"/>
  <c r="G341" i="13"/>
  <c r="E342" i="13"/>
  <c r="F342" i="13"/>
  <c r="G342" i="13"/>
  <c r="E343" i="13"/>
  <c r="F343" i="13"/>
  <c r="G343" i="13"/>
  <c r="E344" i="13"/>
  <c r="F344" i="13"/>
  <c r="G344" i="13"/>
  <c r="E345" i="13"/>
  <c r="F345" i="13"/>
  <c r="G345" i="13"/>
  <c r="E346" i="13"/>
  <c r="F346" i="13"/>
  <c r="G346" i="13"/>
  <c r="E347" i="13"/>
  <c r="F347" i="13"/>
  <c r="G347" i="13"/>
  <c r="E348" i="13"/>
  <c r="F348" i="13"/>
  <c r="G348" i="13"/>
  <c r="E349" i="13"/>
  <c r="F349" i="13"/>
  <c r="G349" i="13"/>
  <c r="E350" i="13"/>
  <c r="F350" i="13"/>
  <c r="G350" i="13"/>
  <c r="E351" i="13"/>
  <c r="F351" i="13"/>
  <c r="G351" i="13"/>
  <c r="E352" i="13"/>
  <c r="F352" i="13"/>
  <c r="G352" i="13"/>
  <c r="E353" i="13"/>
  <c r="F353" i="13"/>
  <c r="G353" i="13"/>
  <c r="E354" i="13"/>
  <c r="F354" i="13"/>
  <c r="G354" i="13"/>
  <c r="E355" i="13"/>
  <c r="F355" i="13"/>
  <c r="G355" i="13"/>
  <c r="E356" i="13"/>
  <c r="F356" i="13"/>
  <c r="G356" i="13"/>
  <c r="E357" i="13"/>
  <c r="F357" i="13"/>
  <c r="G357" i="13"/>
  <c r="E358" i="13"/>
  <c r="F358" i="13"/>
  <c r="G358" i="13"/>
  <c r="E359" i="13"/>
  <c r="F359" i="13"/>
  <c r="G359" i="13"/>
  <c r="E360" i="13"/>
  <c r="F360" i="13"/>
  <c r="G360" i="13"/>
  <c r="E361" i="13"/>
  <c r="F361" i="13"/>
  <c r="G361" i="13"/>
  <c r="E362" i="13"/>
  <c r="F362" i="13"/>
  <c r="G362" i="13"/>
  <c r="E363" i="13"/>
  <c r="F363" i="13"/>
  <c r="G363" i="13"/>
  <c r="E364" i="13"/>
  <c r="F364" i="13"/>
  <c r="G364" i="13"/>
  <c r="E365" i="13"/>
  <c r="F365" i="13"/>
  <c r="G365" i="13"/>
  <c r="E366" i="13"/>
  <c r="F366" i="13"/>
  <c r="G366" i="13"/>
  <c r="E367" i="13"/>
  <c r="F367" i="13"/>
  <c r="G367" i="13"/>
  <c r="E368" i="13"/>
  <c r="F368" i="13"/>
  <c r="G368" i="13"/>
  <c r="E369" i="13"/>
  <c r="F369" i="13"/>
  <c r="G369" i="13"/>
  <c r="E370" i="13"/>
  <c r="F370" i="13"/>
  <c r="G370" i="13"/>
  <c r="E371" i="13"/>
  <c r="F371" i="13"/>
  <c r="G371" i="13"/>
  <c r="E372" i="13"/>
  <c r="F372" i="13"/>
  <c r="G372" i="13"/>
  <c r="E373" i="13"/>
  <c r="F373" i="13"/>
  <c r="G373" i="13"/>
  <c r="E374" i="13"/>
  <c r="F374" i="13"/>
  <c r="G374" i="13"/>
  <c r="E375" i="13"/>
  <c r="F375" i="13"/>
  <c r="G375" i="13"/>
  <c r="E376" i="13"/>
  <c r="F376" i="13"/>
  <c r="G376" i="13"/>
  <c r="E377" i="13"/>
  <c r="F377" i="13"/>
  <c r="G377" i="13"/>
  <c r="E378" i="13"/>
  <c r="F378" i="13"/>
  <c r="G378" i="13"/>
  <c r="E379" i="13"/>
  <c r="F379" i="13"/>
  <c r="G379" i="13"/>
  <c r="E380" i="13"/>
  <c r="F380" i="13"/>
  <c r="G380" i="13"/>
  <c r="E381" i="13"/>
  <c r="F381" i="13"/>
  <c r="G381" i="13"/>
  <c r="E382" i="13"/>
  <c r="F382" i="13"/>
  <c r="G382" i="13"/>
  <c r="E383" i="13"/>
  <c r="F383" i="13"/>
  <c r="G383" i="13"/>
  <c r="E384" i="13"/>
  <c r="F384" i="13"/>
  <c r="G384" i="13"/>
  <c r="E385" i="13"/>
  <c r="F385" i="13"/>
  <c r="G385" i="13"/>
  <c r="E386" i="13"/>
  <c r="F386" i="13"/>
  <c r="G386" i="13"/>
  <c r="E387" i="13"/>
  <c r="F387" i="13"/>
  <c r="G387" i="13"/>
  <c r="E388" i="13"/>
  <c r="F388" i="13"/>
  <c r="G388" i="13"/>
  <c r="E389" i="13"/>
  <c r="F389" i="13"/>
  <c r="G389" i="13"/>
  <c r="E390" i="13"/>
  <c r="F390" i="13"/>
  <c r="G390" i="13"/>
  <c r="S6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7" i="13"/>
  <c r="E48" i="13"/>
  <c r="F48" i="13"/>
  <c r="G48" i="13"/>
  <c r="E49" i="13"/>
  <c r="F49" i="13"/>
  <c r="G49" i="13"/>
  <c r="E50" i="13"/>
  <c r="F50" i="13"/>
  <c r="G50" i="13"/>
  <c r="E51" i="13"/>
  <c r="F51" i="13"/>
  <c r="G51" i="13"/>
  <c r="E52" i="13"/>
  <c r="F52" i="13"/>
  <c r="G52" i="13"/>
  <c r="E53" i="13"/>
  <c r="F53" i="13"/>
  <c r="G53" i="13"/>
  <c r="E54" i="13"/>
  <c r="F54" i="13"/>
  <c r="G54" i="13"/>
  <c r="E55" i="13"/>
  <c r="F55" i="13"/>
  <c r="G55" i="13"/>
  <c r="E56" i="13"/>
  <c r="F56" i="13"/>
  <c r="G56" i="13"/>
  <c r="E57" i="13"/>
  <c r="F57" i="13"/>
  <c r="G57" i="13"/>
  <c r="E58" i="13"/>
  <c r="F58" i="13"/>
  <c r="G58" i="13"/>
  <c r="E59" i="13"/>
  <c r="F59" i="13"/>
  <c r="G59" i="13"/>
  <c r="E60" i="13"/>
  <c r="F60" i="13"/>
  <c r="G60" i="13"/>
  <c r="E61" i="13"/>
  <c r="F61" i="13"/>
  <c r="G61" i="13"/>
  <c r="E62" i="13"/>
  <c r="F62" i="13"/>
  <c r="G62" i="13"/>
  <c r="E63" i="13"/>
  <c r="F63" i="13"/>
  <c r="G63" i="13"/>
  <c r="E64" i="13"/>
  <c r="F64" i="13"/>
  <c r="G64" i="13"/>
  <c r="E65" i="13"/>
  <c r="F65" i="13"/>
  <c r="G65" i="13"/>
  <c r="E66" i="13"/>
  <c r="F66" i="13"/>
  <c r="G66" i="13"/>
  <c r="E67" i="13"/>
  <c r="F67" i="13"/>
  <c r="G67" i="13"/>
  <c r="E68" i="13"/>
  <c r="F68" i="13"/>
  <c r="G68" i="13"/>
  <c r="E69" i="13"/>
  <c r="F69" i="13"/>
  <c r="G69" i="13"/>
  <c r="E70" i="13"/>
  <c r="F70" i="13"/>
  <c r="G70" i="13"/>
  <c r="E71" i="13"/>
  <c r="F71" i="13"/>
  <c r="G71" i="13"/>
  <c r="E72" i="13"/>
  <c r="F72" i="13"/>
  <c r="G72" i="13"/>
  <c r="E73" i="13"/>
  <c r="F73" i="13"/>
  <c r="G73" i="13"/>
  <c r="E74" i="13"/>
  <c r="F74" i="13"/>
  <c r="G74" i="13"/>
  <c r="E75" i="13"/>
  <c r="F75" i="13"/>
  <c r="G75" i="13"/>
  <c r="E76" i="13"/>
  <c r="F76" i="13"/>
  <c r="G76" i="13"/>
  <c r="E77" i="13"/>
  <c r="F77" i="13"/>
  <c r="G77" i="13"/>
  <c r="E78" i="13"/>
  <c r="F78" i="13"/>
  <c r="G78" i="13"/>
  <c r="E79" i="13"/>
  <c r="F79" i="13"/>
  <c r="G79" i="13"/>
  <c r="E80" i="13"/>
  <c r="F80" i="13"/>
  <c r="G80" i="13"/>
  <c r="E81" i="13"/>
  <c r="F81" i="13"/>
  <c r="G81" i="13"/>
  <c r="E82" i="13"/>
  <c r="F82" i="13"/>
  <c r="G82" i="13"/>
  <c r="E83" i="13"/>
  <c r="F83" i="13"/>
  <c r="G83" i="13"/>
  <c r="E84" i="13"/>
  <c r="F84" i="13"/>
  <c r="G84" i="13"/>
  <c r="E85" i="13"/>
  <c r="F85" i="13"/>
  <c r="G85" i="13"/>
  <c r="E86" i="13"/>
  <c r="F86" i="13"/>
  <c r="G86" i="13"/>
  <c r="E87" i="13"/>
  <c r="F87" i="13"/>
  <c r="G87" i="13"/>
  <c r="E88" i="13"/>
  <c r="F88" i="13"/>
  <c r="G88" i="13"/>
  <c r="E89" i="13"/>
  <c r="F89" i="13"/>
  <c r="G89" i="13"/>
  <c r="E90" i="13"/>
  <c r="F90" i="13"/>
  <c r="G90" i="13"/>
  <c r="E91" i="13"/>
  <c r="F91" i="13"/>
  <c r="G91" i="13"/>
  <c r="E92" i="13"/>
  <c r="F92" i="13"/>
  <c r="G92" i="13"/>
  <c r="E93" i="13"/>
  <c r="F93" i="13"/>
  <c r="G93" i="13"/>
  <c r="E94" i="13"/>
  <c r="F94" i="13"/>
  <c r="G94" i="13"/>
  <c r="E95" i="13"/>
  <c r="F95" i="13"/>
  <c r="G95" i="13"/>
  <c r="E96" i="13"/>
  <c r="F96" i="13"/>
  <c r="G96" i="13"/>
  <c r="E97" i="13"/>
  <c r="F97" i="13"/>
  <c r="G97" i="13"/>
  <c r="E98" i="13"/>
  <c r="F98" i="13"/>
  <c r="G98" i="13"/>
  <c r="E99" i="13"/>
  <c r="F99" i="13"/>
  <c r="G99" i="13"/>
  <c r="E100" i="13"/>
  <c r="F100" i="13"/>
  <c r="G100" i="13"/>
  <c r="E101" i="13"/>
  <c r="F101" i="13"/>
  <c r="G101" i="13"/>
  <c r="E102" i="13"/>
  <c r="F102" i="13"/>
  <c r="G102" i="13"/>
  <c r="E8" i="13"/>
  <c r="F8" i="13"/>
  <c r="G8" i="13"/>
  <c r="E9" i="13"/>
  <c r="F9" i="13"/>
  <c r="G9" i="13"/>
  <c r="E10" i="13"/>
  <c r="F10" i="13"/>
  <c r="G10" i="13"/>
  <c r="E11" i="13"/>
  <c r="F11" i="13"/>
  <c r="G11" i="13"/>
  <c r="E12" i="13"/>
  <c r="F12" i="13"/>
  <c r="G12" i="13"/>
  <c r="E13" i="13"/>
  <c r="F13" i="13"/>
  <c r="G13" i="13"/>
  <c r="E14" i="13"/>
  <c r="F14" i="13"/>
  <c r="G14" i="13"/>
  <c r="E15" i="13"/>
  <c r="F15" i="13"/>
  <c r="G15" i="13"/>
  <c r="E16" i="13"/>
  <c r="F16" i="13"/>
  <c r="G16" i="13"/>
  <c r="E17" i="13"/>
  <c r="F17" i="13"/>
  <c r="G17" i="13"/>
  <c r="E18" i="13"/>
  <c r="F18" i="13"/>
  <c r="G18" i="13"/>
  <c r="E19" i="13"/>
  <c r="F19" i="13"/>
  <c r="G19" i="13"/>
  <c r="E20" i="13"/>
  <c r="F20" i="13"/>
  <c r="G20" i="13"/>
  <c r="E21" i="13"/>
  <c r="F21" i="13"/>
  <c r="G21" i="13"/>
  <c r="E22" i="13"/>
  <c r="F22" i="13"/>
  <c r="G22" i="13"/>
  <c r="E23" i="13"/>
  <c r="F23" i="13"/>
  <c r="G23" i="13"/>
  <c r="E24" i="13"/>
  <c r="F24" i="13"/>
  <c r="G24" i="13"/>
  <c r="E25" i="13"/>
  <c r="F25" i="13"/>
  <c r="G25" i="13"/>
  <c r="E26" i="13"/>
  <c r="F26" i="13"/>
  <c r="G26" i="13"/>
  <c r="E27" i="13"/>
  <c r="F27" i="13"/>
  <c r="G27" i="13"/>
  <c r="E28" i="13"/>
  <c r="F28" i="13"/>
  <c r="G28" i="13"/>
  <c r="E29" i="13"/>
  <c r="F29" i="13"/>
  <c r="G29" i="13"/>
  <c r="E30" i="13"/>
  <c r="F30" i="13"/>
  <c r="G30" i="13"/>
  <c r="E31" i="13"/>
  <c r="F31" i="13"/>
  <c r="G31" i="13"/>
  <c r="E32" i="13"/>
  <c r="F32" i="13"/>
  <c r="G32" i="13"/>
  <c r="E33" i="13"/>
  <c r="F33" i="13"/>
  <c r="G33" i="13"/>
  <c r="E34" i="13"/>
  <c r="F34" i="13"/>
  <c r="G34" i="13"/>
  <c r="E35" i="13"/>
  <c r="F35" i="13"/>
  <c r="G35" i="13"/>
  <c r="E36" i="13"/>
  <c r="F36" i="13"/>
  <c r="G36" i="13"/>
  <c r="E37" i="13"/>
  <c r="F37" i="13"/>
  <c r="G37" i="13"/>
  <c r="E38" i="13"/>
  <c r="F38" i="13"/>
  <c r="G38" i="13"/>
  <c r="E39" i="13"/>
  <c r="F39" i="13"/>
  <c r="G39" i="13"/>
  <c r="E40" i="13"/>
  <c r="F40" i="13"/>
  <c r="G40" i="13"/>
  <c r="E41" i="13"/>
  <c r="F41" i="13"/>
  <c r="G41" i="13"/>
  <c r="E42" i="13"/>
  <c r="F42" i="13"/>
  <c r="G42" i="13"/>
  <c r="E43" i="13"/>
  <c r="F43" i="13"/>
  <c r="G43" i="13"/>
  <c r="E44" i="13"/>
  <c r="F44" i="13"/>
  <c r="G44" i="13"/>
  <c r="E45" i="13"/>
  <c r="F45" i="13"/>
  <c r="G45" i="13"/>
  <c r="E46" i="13"/>
  <c r="F46" i="13"/>
  <c r="G46" i="13"/>
  <c r="E47" i="13"/>
  <c r="F47" i="13"/>
  <c r="G47" i="13"/>
  <c r="G7" i="13"/>
  <c r="F7" i="13"/>
  <c r="E7" i="13"/>
  <c r="L8" i="12" l="1"/>
  <c r="L7" i="12"/>
  <c r="L6" i="12"/>
  <c r="G18" i="6" l="1"/>
  <c r="S49" i="14" s="1"/>
  <c r="G16" i="6"/>
  <c r="C24" i="6"/>
  <c r="C22" i="6"/>
  <c r="C21" i="6"/>
  <c r="C20" i="6"/>
  <c r="C16" i="6"/>
  <c r="C17" i="6"/>
  <c r="C18" i="6"/>
  <c r="C19" i="6"/>
  <c r="C15" i="6"/>
  <c r="L16" i="12"/>
  <c r="L15" i="12"/>
  <c r="L14" i="12"/>
  <c r="L13" i="12"/>
  <c r="L9" i="12"/>
  <c r="F21" i="14" l="1"/>
  <c r="S51" i="14"/>
  <c r="D21" i="6"/>
  <c r="D22" i="6"/>
  <c r="D19" i="6"/>
  <c r="D18" i="6"/>
  <c r="D17" i="6"/>
  <c r="D20" i="6"/>
  <c r="D54" i="12"/>
  <c r="AB18" i="14" l="1"/>
  <c r="G17" i="9"/>
  <c r="G16" i="9"/>
  <c r="G19" i="9"/>
  <c r="G5" i="9"/>
  <c r="G22" i="9"/>
  <c r="G15" i="9" l="1"/>
  <c r="K12" i="14" l="1"/>
  <c r="K11" i="14"/>
  <c r="D5" i="4"/>
  <c r="D22" i="12"/>
  <c r="D32" i="12"/>
  <c r="D31" i="12"/>
  <c r="D30" i="12"/>
  <c r="D29" i="12"/>
  <c r="G4" i="9"/>
  <c r="G24" i="9"/>
  <c r="D28" i="12" s="1"/>
  <c r="G23" i="9"/>
  <c r="D27" i="12" s="1"/>
  <c r="D20" i="12"/>
  <c r="D19" i="12"/>
  <c r="G27" i="6"/>
  <c r="H20" i="6" s="1"/>
  <c r="G12" i="6"/>
  <c r="G3" i="6"/>
  <c r="D26" i="12"/>
  <c r="D25" i="12"/>
  <c r="D24" i="12"/>
  <c r="D23" i="12"/>
  <c r="D38" i="12"/>
  <c r="D39" i="12"/>
  <c r="D40" i="12"/>
  <c r="D37" i="12"/>
  <c r="G6" i="9"/>
  <c r="G27" i="9" s="1"/>
  <c r="D36" i="12"/>
  <c r="C3" i="8"/>
  <c r="D3" i="8" s="1"/>
  <c r="B3" i="8"/>
  <c r="G30" i="8" s="1"/>
  <c r="C14" i="6"/>
  <c r="G14" i="9"/>
  <c r="C10" i="14" s="1"/>
  <c r="F22" i="14" s="1"/>
  <c r="D13" i="12"/>
  <c r="G8" i="4"/>
  <c r="G7" i="4"/>
  <c r="G6" i="4"/>
  <c r="G5" i="4"/>
  <c r="G4" i="4"/>
  <c r="G3" i="4"/>
  <c r="D14" i="12"/>
  <c r="D9" i="12"/>
  <c r="D8" i="12"/>
  <c r="D7" i="12"/>
  <c r="H5" i="14" s="1"/>
  <c r="D6" i="12"/>
  <c r="G18" i="9"/>
  <c r="G10" i="9"/>
  <c r="G20" i="4"/>
  <c r="D33" i="8"/>
  <c r="C33" i="8"/>
  <c r="D32" i="8"/>
  <c r="C32" i="8"/>
  <c r="D31" i="8"/>
  <c r="C31" i="8"/>
  <c r="D28" i="13" s="1"/>
  <c r="D30" i="8"/>
  <c r="C30" i="8"/>
  <c r="D29" i="8"/>
  <c r="C29" i="8"/>
  <c r="D26" i="13" s="1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19" i="13" s="1"/>
  <c r="D21" i="8"/>
  <c r="C21" i="8"/>
  <c r="D20" i="8"/>
  <c r="C20" i="8"/>
  <c r="D19" i="8"/>
  <c r="C19" i="8"/>
  <c r="D18" i="8"/>
  <c r="C18" i="8"/>
  <c r="D15" i="13" s="1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8" i="13" s="1"/>
  <c r="D10" i="8"/>
  <c r="C10" i="8"/>
  <c r="D3" i="4"/>
  <c r="B6" i="8"/>
  <c r="J22" i="8" l="1"/>
  <c r="J18" i="8"/>
  <c r="J29" i="8"/>
  <c r="H3" i="6"/>
  <c r="J17" i="14"/>
  <c r="N17" i="14"/>
  <c r="C11" i="14"/>
  <c r="C12" i="14" s="1"/>
  <c r="F23" i="14"/>
  <c r="M25" i="8"/>
  <c r="M33" i="8"/>
  <c r="J12" i="8"/>
  <c r="D9" i="13"/>
  <c r="J16" i="8"/>
  <c r="D13" i="13"/>
  <c r="J23" i="8"/>
  <c r="D20" i="13"/>
  <c r="J30" i="8"/>
  <c r="D27" i="13"/>
  <c r="D320" i="13"/>
  <c r="D272" i="13"/>
  <c r="D176" i="13"/>
  <c r="D104" i="13"/>
  <c r="D200" i="13"/>
  <c r="D32" i="13"/>
  <c r="J20" i="8"/>
  <c r="D17" i="13"/>
  <c r="J32" i="8"/>
  <c r="D29" i="13"/>
  <c r="J17" i="8"/>
  <c r="D14" i="13"/>
  <c r="D331" i="13"/>
  <c r="D43" i="13"/>
  <c r="D211" i="13"/>
  <c r="D283" i="13"/>
  <c r="D187" i="13"/>
  <c r="D115" i="13"/>
  <c r="J24" i="8"/>
  <c r="D21" i="13"/>
  <c r="D338" i="13"/>
  <c r="D290" i="13"/>
  <c r="D50" i="13"/>
  <c r="D218" i="13"/>
  <c r="D194" i="13"/>
  <c r="D122" i="13"/>
  <c r="J31" i="8"/>
  <c r="J14" i="8"/>
  <c r="D11" i="13"/>
  <c r="M21" i="8"/>
  <c r="J25" i="8"/>
  <c r="D22" i="13"/>
  <c r="M12" i="8"/>
  <c r="D327" i="13"/>
  <c r="D111" i="13"/>
  <c r="D39" i="13"/>
  <c r="D207" i="13"/>
  <c r="D279" i="13"/>
  <c r="D183" i="13"/>
  <c r="J27" i="8"/>
  <c r="D24" i="13"/>
  <c r="J13" i="8"/>
  <c r="D10" i="13"/>
  <c r="J15" i="8"/>
  <c r="D12" i="13"/>
  <c r="J10" i="8"/>
  <c r="D7" i="13"/>
  <c r="G11" i="8"/>
  <c r="M13" i="8"/>
  <c r="J19" i="8"/>
  <c r="D16" i="13"/>
  <c r="J21" i="8"/>
  <c r="D18" i="13"/>
  <c r="J26" i="8"/>
  <c r="D23" i="13"/>
  <c r="J28" i="8"/>
  <c r="D25" i="13"/>
  <c r="D340" i="13"/>
  <c r="D124" i="13"/>
  <c r="D292" i="13"/>
  <c r="D52" i="13"/>
  <c r="D220" i="13"/>
  <c r="D196" i="13"/>
  <c r="J33" i="8"/>
  <c r="D30" i="13"/>
  <c r="M26" i="8"/>
  <c r="G19" i="8"/>
  <c r="C10" i="6"/>
  <c r="H19" i="6"/>
  <c r="H18" i="6"/>
  <c r="D6" i="8"/>
  <c r="C6" i="8"/>
  <c r="M17" i="8"/>
  <c r="M11" i="8"/>
  <c r="M23" i="8"/>
  <c r="M28" i="8"/>
  <c r="M18" i="8"/>
  <c r="M29" i="8"/>
  <c r="M32" i="8"/>
  <c r="J11" i="8"/>
  <c r="D18" i="12"/>
  <c r="H16" i="6"/>
  <c r="M31" i="8"/>
  <c r="H4" i="4"/>
  <c r="I4" i="4" s="1"/>
  <c r="G15" i="8"/>
  <c r="G21" i="8"/>
  <c r="G23" i="8"/>
  <c r="G27" i="8"/>
  <c r="D15" i="6"/>
  <c r="G29" i="8"/>
  <c r="G31" i="8"/>
  <c r="G20" i="8"/>
  <c r="G16" i="8"/>
  <c r="D16" i="6"/>
  <c r="G10" i="8"/>
  <c r="G14" i="8"/>
  <c r="G24" i="8"/>
  <c r="G28" i="8"/>
  <c r="D14" i="6"/>
  <c r="G32" i="8"/>
  <c r="C9" i="6"/>
  <c r="C21" i="14" s="1"/>
  <c r="M10" i="8"/>
  <c r="G13" i="8"/>
  <c r="M15" i="8"/>
  <c r="G18" i="8"/>
  <c r="M20" i="8"/>
  <c r="G26" i="8"/>
  <c r="M22" i="8"/>
  <c r="G12" i="8"/>
  <c r="M14" i="8"/>
  <c r="G17" i="8"/>
  <c r="M19" i="8"/>
  <c r="G25" i="8"/>
  <c r="M27" i="8"/>
  <c r="G33" i="8"/>
  <c r="M30" i="8"/>
  <c r="M16" i="8"/>
  <c r="G22" i="8"/>
  <c r="M24" i="8"/>
  <c r="H3" i="4"/>
  <c r="I3" i="4" s="1"/>
  <c r="D6" i="4"/>
  <c r="D21" i="12"/>
  <c r="D4" i="4"/>
  <c r="J6" i="8" l="1"/>
  <c r="C11" i="6"/>
  <c r="G17" i="6" s="1"/>
  <c r="G4" i="6"/>
  <c r="B55" i="14" s="1"/>
  <c r="B56" i="14" s="1"/>
  <c r="Y18" i="14"/>
  <c r="C22" i="14"/>
  <c r="D21" i="14"/>
  <c r="C23" i="14"/>
  <c r="D337" i="13"/>
  <c r="D217" i="13"/>
  <c r="D193" i="13"/>
  <c r="D121" i="13"/>
  <c r="D289" i="13"/>
  <c r="D49" i="13"/>
  <c r="D336" i="13"/>
  <c r="D48" i="13"/>
  <c r="D216" i="13"/>
  <c r="D120" i="13"/>
  <c r="D288" i="13"/>
  <c r="D192" i="13"/>
  <c r="D323" i="13"/>
  <c r="D107" i="13"/>
  <c r="D35" i="13"/>
  <c r="D179" i="13"/>
  <c r="D203" i="13"/>
  <c r="D275" i="13"/>
  <c r="D341" i="13"/>
  <c r="D293" i="13"/>
  <c r="D221" i="13"/>
  <c r="D53" i="13"/>
  <c r="D197" i="13"/>
  <c r="D125" i="13"/>
  <c r="D332" i="13"/>
  <c r="D188" i="13"/>
  <c r="D116" i="13"/>
  <c r="D212" i="13"/>
  <c r="D284" i="13"/>
  <c r="D44" i="13"/>
  <c r="D46" i="13"/>
  <c r="D286" i="13"/>
  <c r="D190" i="13"/>
  <c r="D118" i="13"/>
  <c r="D214" i="13"/>
  <c r="D334" i="13"/>
  <c r="D335" i="13"/>
  <c r="D47" i="13"/>
  <c r="D215" i="13"/>
  <c r="D287" i="13"/>
  <c r="D191" i="13"/>
  <c r="D119" i="13"/>
  <c r="D319" i="13"/>
  <c r="D199" i="13"/>
  <c r="D3" i="13"/>
  <c r="D271" i="13"/>
  <c r="D175" i="13"/>
  <c r="D103" i="13"/>
  <c r="D31" i="13"/>
  <c r="D117" i="13"/>
  <c r="D189" i="13"/>
  <c r="D285" i="13"/>
  <c r="D333" i="13"/>
  <c r="D213" i="13"/>
  <c r="D45" i="13"/>
  <c r="D206" i="13"/>
  <c r="D278" i="13"/>
  <c r="D182" i="13"/>
  <c r="D110" i="13"/>
  <c r="D326" i="13"/>
  <c r="D38" i="13"/>
  <c r="D329" i="13"/>
  <c r="D281" i="13"/>
  <c r="D41" i="13"/>
  <c r="D209" i="13"/>
  <c r="D113" i="13"/>
  <c r="D185" i="13"/>
  <c r="D339" i="13"/>
  <c r="D219" i="13"/>
  <c r="D291" i="13"/>
  <c r="D195" i="13"/>
  <c r="D123" i="13"/>
  <c r="D51" i="13"/>
  <c r="D37" i="13"/>
  <c r="D325" i="13"/>
  <c r="D205" i="13"/>
  <c r="D109" i="13"/>
  <c r="D277" i="13"/>
  <c r="D181" i="13"/>
  <c r="D126" i="13"/>
  <c r="D294" i="13"/>
  <c r="D198" i="13"/>
  <c r="D222" i="13"/>
  <c r="D342" i="13"/>
  <c r="D54" i="13"/>
  <c r="D316" i="13"/>
  <c r="D364" i="13"/>
  <c r="D148" i="13"/>
  <c r="D244" i="13"/>
  <c r="D76" i="13"/>
  <c r="D330" i="13"/>
  <c r="D114" i="13"/>
  <c r="D282" i="13"/>
  <c r="D42" i="13"/>
  <c r="D186" i="13"/>
  <c r="D210" i="13"/>
  <c r="D324" i="13"/>
  <c r="D204" i="13"/>
  <c r="D180" i="13"/>
  <c r="D108" i="13"/>
  <c r="D276" i="13"/>
  <c r="D36" i="13"/>
  <c r="D307" i="13"/>
  <c r="D355" i="13"/>
  <c r="D235" i="13"/>
  <c r="D139" i="13"/>
  <c r="D67" i="13"/>
  <c r="D296" i="13"/>
  <c r="D344" i="13"/>
  <c r="D224" i="13"/>
  <c r="D128" i="13"/>
  <c r="D56" i="13"/>
  <c r="D321" i="13"/>
  <c r="D105" i="13"/>
  <c r="D273" i="13"/>
  <c r="D33" i="13"/>
  <c r="D177" i="13"/>
  <c r="D201" i="13"/>
  <c r="D303" i="13"/>
  <c r="D351" i="13"/>
  <c r="D231" i="13"/>
  <c r="D135" i="13"/>
  <c r="D63" i="13"/>
  <c r="D328" i="13"/>
  <c r="D112" i="13"/>
  <c r="D40" i="13"/>
  <c r="D184" i="13"/>
  <c r="D208" i="13"/>
  <c r="D280" i="13"/>
  <c r="D322" i="13"/>
  <c r="D178" i="13"/>
  <c r="D106" i="13"/>
  <c r="D202" i="13"/>
  <c r="D274" i="13"/>
  <c r="D34" i="13"/>
  <c r="D314" i="13"/>
  <c r="D362" i="13"/>
  <c r="D242" i="13"/>
  <c r="D146" i="13"/>
  <c r="D74" i="13"/>
  <c r="D10" i="6"/>
  <c r="H5" i="4"/>
  <c r="I5" i="4" s="1"/>
  <c r="G10" i="6"/>
  <c r="C7" i="6"/>
  <c r="C3" i="6"/>
  <c r="G6" i="8"/>
  <c r="M6" i="8"/>
  <c r="D9" i="6"/>
  <c r="G25" i="6"/>
  <c r="E21" i="14" l="1"/>
  <c r="AA18" i="14" s="1"/>
  <c r="H4" i="6"/>
  <c r="C6" i="6"/>
  <c r="B21" i="14" s="1"/>
  <c r="B23" i="14" s="1"/>
  <c r="B57" i="14"/>
  <c r="G23" i="6"/>
  <c r="O21" i="14"/>
  <c r="Z18" i="14"/>
  <c r="D22" i="14"/>
  <c r="D23" i="14"/>
  <c r="D3" i="6"/>
  <c r="M21" i="14"/>
  <c r="H10" i="6"/>
  <c r="E55" i="14"/>
  <c r="H25" i="6"/>
  <c r="U49" i="14"/>
  <c r="D386" i="13"/>
  <c r="D266" i="13"/>
  <c r="D170" i="13"/>
  <c r="D98" i="13"/>
  <c r="D368" i="13"/>
  <c r="D248" i="13"/>
  <c r="D152" i="13"/>
  <c r="D80" i="13"/>
  <c r="D305" i="13"/>
  <c r="D353" i="13"/>
  <c r="D137" i="13"/>
  <c r="D65" i="13"/>
  <c r="D233" i="13"/>
  <c r="D298" i="13"/>
  <c r="D346" i="13"/>
  <c r="D226" i="13"/>
  <c r="D130" i="13"/>
  <c r="D58" i="13"/>
  <c r="D375" i="13"/>
  <c r="D255" i="13"/>
  <c r="D159" i="13"/>
  <c r="D87" i="13"/>
  <c r="D379" i="13"/>
  <c r="D259" i="13"/>
  <c r="D163" i="13"/>
  <c r="D91" i="13"/>
  <c r="D309" i="13"/>
  <c r="D237" i="13"/>
  <c r="D69" i="13"/>
  <c r="D357" i="13"/>
  <c r="D141" i="13"/>
  <c r="D310" i="13"/>
  <c r="D358" i="13"/>
  <c r="D238" i="13"/>
  <c r="D142" i="13"/>
  <c r="D70" i="13"/>
  <c r="D299" i="13"/>
  <c r="D347" i="13"/>
  <c r="D59" i="13"/>
  <c r="D227" i="13"/>
  <c r="D131" i="13"/>
  <c r="D312" i="13"/>
  <c r="D360" i="13"/>
  <c r="D240" i="13"/>
  <c r="D144" i="13"/>
  <c r="D72" i="13"/>
  <c r="D304" i="13"/>
  <c r="D352" i="13"/>
  <c r="D232" i="13"/>
  <c r="D136" i="13"/>
  <c r="D64" i="13"/>
  <c r="D300" i="13"/>
  <c r="D348" i="13"/>
  <c r="D228" i="13"/>
  <c r="D132" i="13"/>
  <c r="D60" i="13"/>
  <c r="D306" i="13"/>
  <c r="D354" i="13"/>
  <c r="D234" i="13"/>
  <c r="D138" i="13"/>
  <c r="D66" i="13"/>
  <c r="D388" i="13"/>
  <c r="D268" i="13"/>
  <c r="D172" i="13"/>
  <c r="D100" i="13"/>
  <c r="D301" i="13"/>
  <c r="D349" i="13"/>
  <c r="D229" i="13"/>
  <c r="D133" i="13"/>
  <c r="D61" i="13"/>
  <c r="D311" i="13"/>
  <c r="D359" i="13"/>
  <c r="D143" i="13"/>
  <c r="D239" i="13"/>
  <c r="D71" i="13"/>
  <c r="D308" i="13"/>
  <c r="D356" i="13"/>
  <c r="D140" i="13"/>
  <c r="D68" i="13"/>
  <c r="D236" i="13"/>
  <c r="D317" i="13"/>
  <c r="D149" i="13"/>
  <c r="D245" i="13"/>
  <c r="D77" i="13"/>
  <c r="D365" i="13"/>
  <c r="D313" i="13"/>
  <c r="D361" i="13"/>
  <c r="D241" i="13"/>
  <c r="D145" i="13"/>
  <c r="D73" i="13"/>
  <c r="D297" i="13"/>
  <c r="D345" i="13"/>
  <c r="D129" i="13"/>
  <c r="D225" i="13"/>
  <c r="D57" i="13"/>
  <c r="D11" i="6"/>
  <c r="G5" i="6"/>
  <c r="D318" i="13"/>
  <c r="D150" i="13"/>
  <c r="D246" i="13"/>
  <c r="D78" i="13"/>
  <c r="D366" i="13"/>
  <c r="D315" i="13"/>
  <c r="D363" i="13"/>
  <c r="D243" i="13"/>
  <c r="D147" i="13"/>
  <c r="D75" i="13"/>
  <c r="D302" i="13"/>
  <c r="D62" i="13"/>
  <c r="D134" i="13"/>
  <c r="D350" i="13"/>
  <c r="D230" i="13"/>
  <c r="D295" i="13"/>
  <c r="D343" i="13"/>
  <c r="D127" i="13"/>
  <c r="D223" i="13"/>
  <c r="D55" i="13"/>
  <c r="C5" i="6"/>
  <c r="C8" i="6"/>
  <c r="C4" i="6"/>
  <c r="D7" i="6"/>
  <c r="G8" i="6"/>
  <c r="M22" i="14" l="1"/>
  <c r="M23" i="14"/>
  <c r="O22" i="14"/>
  <c r="O23" i="14"/>
  <c r="E23" i="14"/>
  <c r="E22" i="14"/>
  <c r="H8" i="4"/>
  <c r="G11" i="4"/>
  <c r="X18" i="14"/>
  <c r="H20" i="4"/>
  <c r="I20" i="4" s="1"/>
  <c r="B22" i="14"/>
  <c r="D6" i="6"/>
  <c r="F3" i="10"/>
  <c r="F4" i="10" s="1"/>
  <c r="F5" i="10" s="1"/>
  <c r="N21" i="14"/>
  <c r="G24" i="6"/>
  <c r="J21" i="14"/>
  <c r="R49" i="14"/>
  <c r="H17" i="6"/>
  <c r="H8" i="6"/>
  <c r="M55" i="14"/>
  <c r="G22" i="6"/>
  <c r="I21" i="14"/>
  <c r="I23" i="14" s="1"/>
  <c r="H23" i="6"/>
  <c r="AC49" i="14"/>
  <c r="AC51" i="14" s="1"/>
  <c r="H5" i="6"/>
  <c r="C55" i="14"/>
  <c r="E57" i="14"/>
  <c r="E56" i="14"/>
  <c r="U51" i="14"/>
  <c r="D269" i="13"/>
  <c r="D389" i="13"/>
  <c r="D173" i="13"/>
  <c r="D101" i="13"/>
  <c r="D369" i="13"/>
  <c r="D249" i="13"/>
  <c r="D153" i="13"/>
  <c r="D81" i="13"/>
  <c r="D380" i="13"/>
  <c r="D260" i="13"/>
  <c r="D164" i="13"/>
  <c r="D92" i="13"/>
  <c r="D383" i="13"/>
  <c r="D263" i="13"/>
  <c r="D167" i="13"/>
  <c r="D95" i="13"/>
  <c r="D376" i="13"/>
  <c r="D256" i="13"/>
  <c r="D160" i="13"/>
  <c r="D88" i="13"/>
  <c r="D371" i="13"/>
  <c r="D251" i="13"/>
  <c r="D155" i="13"/>
  <c r="D83" i="13"/>
  <c r="D372" i="13"/>
  <c r="D252" i="13"/>
  <c r="D156" i="13"/>
  <c r="D84" i="13"/>
  <c r="D262" i="13"/>
  <c r="D166" i="13"/>
  <c r="D382" i="13"/>
  <c r="D94" i="13"/>
  <c r="D377" i="13"/>
  <c r="D257" i="13"/>
  <c r="D161" i="13"/>
  <c r="D89" i="13"/>
  <c r="D387" i="13"/>
  <c r="D267" i="13"/>
  <c r="D171" i="13"/>
  <c r="D99" i="13"/>
  <c r="D385" i="13"/>
  <c r="D265" i="13"/>
  <c r="D169" i="13"/>
  <c r="D97" i="13"/>
  <c r="D157" i="13"/>
  <c r="D253" i="13"/>
  <c r="D85" i="13"/>
  <c r="D373" i="13"/>
  <c r="D384" i="13"/>
  <c r="D264" i="13"/>
  <c r="D168" i="13"/>
  <c r="D96" i="13"/>
  <c r="D370" i="13"/>
  <c r="D250" i="13"/>
  <c r="D154" i="13"/>
  <c r="D82" i="13"/>
  <c r="D5" i="6"/>
  <c r="G7" i="6"/>
  <c r="D367" i="13"/>
  <c r="D247" i="13"/>
  <c r="D151" i="13"/>
  <c r="D79" i="13"/>
  <c r="D374" i="13"/>
  <c r="D158" i="13"/>
  <c r="D86" i="13"/>
  <c r="D254" i="13"/>
  <c r="D102" i="13"/>
  <c r="D390" i="13"/>
  <c r="D270" i="13"/>
  <c r="D174" i="13"/>
  <c r="D378" i="13"/>
  <c r="D258" i="13"/>
  <c r="D162" i="13"/>
  <c r="D90" i="13"/>
  <c r="D261" i="13"/>
  <c r="D165" i="13"/>
  <c r="D93" i="13"/>
  <c r="D381" i="13"/>
  <c r="D8" i="6"/>
  <c r="G9" i="6"/>
  <c r="G21" i="6"/>
  <c r="D4" i="6"/>
  <c r="G6" i="6"/>
  <c r="N22" i="14" l="1"/>
  <c r="N23" i="14"/>
  <c r="D24" i="6"/>
  <c r="Y11" i="14"/>
  <c r="Y19" i="14" s="1"/>
  <c r="C32" i="6"/>
  <c r="H7" i="4"/>
  <c r="I8" i="4"/>
  <c r="E3" i="10"/>
  <c r="E4" i="10" s="1"/>
  <c r="E5" i="10" s="1"/>
  <c r="M57" i="14"/>
  <c r="M56" i="14"/>
  <c r="J22" i="14"/>
  <c r="J23" i="14"/>
  <c r="H7" i="6"/>
  <c r="H55" i="14"/>
  <c r="H57" i="14" s="1"/>
  <c r="H24" i="6"/>
  <c r="Y49" i="14"/>
  <c r="I22" i="14"/>
  <c r="H9" i="6"/>
  <c r="I55" i="14"/>
  <c r="H22" i="6"/>
  <c r="X49" i="14"/>
  <c r="X51" i="14" s="1"/>
  <c r="R51" i="14"/>
  <c r="H21" i="6"/>
  <c r="AB49" i="14"/>
  <c r="H6" i="6"/>
  <c r="L55" i="14"/>
  <c r="C57" i="14"/>
  <c r="C56" i="14"/>
  <c r="G26" i="6"/>
  <c r="G13" i="4" s="1"/>
  <c r="G11" i="6"/>
  <c r="Z19" i="14" l="1"/>
  <c r="AA19" i="14"/>
  <c r="AB19" i="14"/>
  <c r="X19" i="14"/>
  <c r="I7" i="4"/>
  <c r="C33" i="6"/>
  <c r="D32" i="6" s="1"/>
  <c r="V5" i="14"/>
  <c r="D3" i="10"/>
  <c r="D4" i="10" s="1"/>
  <c r="D5" i="10" s="1"/>
  <c r="H6" i="4" s="1"/>
  <c r="I6" i="4" s="1"/>
  <c r="Z41" i="14"/>
  <c r="Y50" i="14" s="1"/>
  <c r="J47" i="14"/>
  <c r="H56" i="14"/>
  <c r="I57" i="14"/>
  <c r="I56" i="14"/>
  <c r="Y51" i="14"/>
  <c r="L57" i="14"/>
  <c r="M47" i="14"/>
  <c r="L56" i="14"/>
  <c r="G12" i="4"/>
  <c r="D55" i="14"/>
  <c r="H26" i="6"/>
  <c r="H27" i="6" s="1"/>
  <c r="T49" i="14"/>
  <c r="V41" i="14" s="1"/>
  <c r="R50" i="14" s="1"/>
  <c r="AC41" i="14"/>
  <c r="AB51" i="14"/>
  <c r="H11" i="6"/>
  <c r="H12" i="6" s="1"/>
  <c r="Z20" i="14" l="1"/>
  <c r="X20" i="14"/>
  <c r="Y20" i="14"/>
  <c r="Y12" i="14"/>
  <c r="Y13" i="14" s="1"/>
  <c r="AB20" i="14"/>
  <c r="T11" i="14"/>
  <c r="T12" i="14" s="1"/>
  <c r="T13" i="14" s="1"/>
  <c r="C27" i="6"/>
  <c r="D30" i="6"/>
  <c r="D28" i="6"/>
  <c r="D29" i="6"/>
  <c r="D31" i="6"/>
  <c r="AA20" i="14"/>
  <c r="U50" i="14"/>
  <c r="V43" i="14"/>
  <c r="S50" i="14"/>
  <c r="V42" i="14"/>
  <c r="Z42" i="14"/>
  <c r="Z43" i="14"/>
  <c r="J49" i="14"/>
  <c r="J48" i="14"/>
  <c r="X50" i="14"/>
  <c r="M49" i="14"/>
  <c r="M48" i="14"/>
  <c r="AC42" i="14"/>
  <c r="AC43" i="14"/>
  <c r="AC50" i="14"/>
  <c r="AB50" i="14"/>
  <c r="T51" i="14"/>
  <c r="T50" i="14"/>
  <c r="D57" i="14"/>
  <c r="D56" i="14"/>
  <c r="F47" i="14"/>
  <c r="D27" i="6" l="1"/>
  <c r="D33" i="6" s="1"/>
  <c r="G14" i="4"/>
  <c r="F49" i="14"/>
  <c r="F4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Takacs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Enter measured data or estimate missing data</t>
        </r>
      </text>
    </comment>
    <comment ref="B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85 - 90% of TSS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If COD is not available, use 
2.2*cBOD5 in US
2.5*cBOD5 in Europe</t>
        </r>
      </text>
    </comment>
    <comment ref="B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Usually 40% of COD</t>
        </r>
      </text>
    </comment>
    <comment ref="B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Usually 60% of filtered COD</t>
        </r>
      </text>
    </comment>
    <comment ref="B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From processes where SRT&gt;3days</t>
        </r>
      </text>
    </comment>
    <comment ref="B1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If ATU or TCMP was used to inhibit nitrification, the actual cBOD may be 15-20% higher than measured.</t>
        </r>
      </text>
    </comment>
    <comment ref="B2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Imre Takacs:</t>
        </r>
        <r>
          <rPr>
            <sz val="9"/>
            <color indexed="81"/>
            <rFont val="Tahoma"/>
            <family val="2"/>
          </rPr>
          <t xml:space="preserve">
Important for bio-P plants</t>
        </r>
      </text>
    </comment>
    <comment ref="B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Usually negligible</t>
        </r>
      </text>
    </comment>
    <comment ref="B2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required for biomass growth
</t>
        </r>
      </text>
    </comment>
    <comment ref="B2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required for biomass growth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Takacs</author>
  </authors>
  <commentList>
    <comment ref="A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Dynamita:</t>
        </r>
        <r>
          <rPr>
            <sz val="9"/>
            <color indexed="81"/>
            <rFont val="Tahoma"/>
            <family val="2"/>
          </rPr>
          <t xml:space="preserve">
must be 1.0000</t>
        </r>
      </text>
    </comment>
  </commentList>
</comments>
</file>

<file path=xl/sharedStrings.xml><?xml version="1.0" encoding="utf-8"?>
<sst xmlns="http://schemas.openxmlformats.org/spreadsheetml/2006/main" count="911" uniqueCount="487">
  <si>
    <t>Name</t>
  </si>
  <si>
    <t>Unit</t>
  </si>
  <si>
    <t>VFAs</t>
  </si>
  <si>
    <t>Readily biodegradable substrate (non-VFA)</t>
  </si>
  <si>
    <t>Methanol</t>
  </si>
  <si>
    <t>Colloidal biodegradable substrate</t>
  </si>
  <si>
    <t>Slowly biodegradable substrate</t>
  </si>
  <si>
    <t>Soluble unbiodegradable organics</t>
  </si>
  <si>
    <t>Colloidal unbiodegradable organics</t>
  </si>
  <si>
    <t>Particulate unbiodegradable organics</t>
  </si>
  <si>
    <t>Stored PHA</t>
  </si>
  <si>
    <t>Magnesium</t>
  </si>
  <si>
    <t>Influent components</t>
  </si>
  <si>
    <t>Default</t>
  </si>
  <si>
    <t>Q</t>
  </si>
  <si>
    <t>Flow rate</t>
  </si>
  <si>
    <t>Total COD</t>
  </si>
  <si>
    <t>TKN</t>
  </si>
  <si>
    <t>Total phosphorus</t>
  </si>
  <si>
    <t>Alkalinity</t>
  </si>
  <si>
    <t>pH</t>
  </si>
  <si>
    <t>-</t>
  </si>
  <si>
    <t>Influent fractions</t>
  </si>
  <si>
    <t>VFA fraction of filtered COD</t>
  </si>
  <si>
    <t>Hourly diurnal flow data generator</t>
  </si>
  <si>
    <t>HELP</t>
  </si>
  <si>
    <t>Average Q m3/d</t>
  </si>
  <si>
    <t>Influent flow for:</t>
  </si>
  <si>
    <t>Damping factor</t>
  </si>
  <si>
    <t xml:space="preserve">     small plant</t>
  </si>
  <si>
    <t xml:space="preserve">     medium plant</t>
  </si>
  <si>
    <t xml:space="preserve">     large plant</t>
  </si>
  <si>
    <t>Modify damping factor if needed (higher damping = bigger plant, less variation)</t>
  </si>
  <si>
    <t>Average check</t>
  </si>
  <si>
    <t>time</t>
  </si>
  <si>
    <t>small</t>
  </si>
  <si>
    <t>medium</t>
  </si>
  <si>
    <t>large</t>
  </si>
  <si>
    <t>Flow</t>
  </si>
  <si>
    <t>Value</t>
  </si>
  <si>
    <t>COD</t>
  </si>
  <si>
    <t>TP</t>
  </si>
  <si>
    <t>TSS</t>
  </si>
  <si>
    <t>VSS</t>
  </si>
  <si>
    <t>mgP/L</t>
  </si>
  <si>
    <t>mg/L</t>
  </si>
  <si>
    <t>Key measurements</t>
  </si>
  <si>
    <t>VFA</t>
  </si>
  <si>
    <t>Ammonia</t>
  </si>
  <si>
    <t>Phosphate</t>
  </si>
  <si>
    <t>COD - BOD</t>
  </si>
  <si>
    <t>meq/L</t>
  </si>
  <si>
    <t>Filtered COD fraction</t>
  </si>
  <si>
    <t>Other influent measurements</t>
  </si>
  <si>
    <t>Nitrite+nitrate</t>
  </si>
  <si>
    <t>Influent filtered flocculated COD</t>
  </si>
  <si>
    <t>Influent filtered COD</t>
  </si>
  <si>
    <t>Influent COD</t>
  </si>
  <si>
    <r>
      <rPr>
        <b/>
        <i/>
        <sz val="11"/>
        <rFont val="Calibri"/>
        <family val="2"/>
        <scheme val="minor"/>
      </rPr>
      <t xml:space="preserve">Effluent </t>
    </r>
    <r>
      <rPr>
        <sz val="11"/>
        <rFont val="Calibri"/>
        <family val="2"/>
        <scheme val="minor"/>
      </rPr>
      <t>filtered COD (inert)</t>
    </r>
  </si>
  <si>
    <t>COD/BOD ratio</t>
  </si>
  <si>
    <t>Total Sulfur</t>
  </si>
  <si>
    <t>mgS/L</t>
  </si>
  <si>
    <t>Data</t>
  </si>
  <si>
    <t>Tabs</t>
  </si>
  <si>
    <t>Use</t>
  </si>
  <si>
    <t>Create diurnal influent</t>
  </si>
  <si>
    <t>Balances</t>
  </si>
  <si>
    <t>Blue</t>
  </si>
  <si>
    <t>Green</t>
  </si>
  <si>
    <t>Input data</t>
  </si>
  <si>
    <t>US Unit</t>
  </si>
  <si>
    <t>SI unit</t>
  </si>
  <si>
    <t>mg COD/L</t>
  </si>
  <si>
    <t>MGD</t>
  </si>
  <si>
    <t>Calculated from estimated fractions</t>
  </si>
  <si>
    <t>Measured data</t>
  </si>
  <si>
    <t>Filtered flocculated COD fraction</t>
  </si>
  <si>
    <t>Calculated influent filtered COD</t>
  </si>
  <si>
    <t>Calculated Influent filtered flocculated COD</t>
  </si>
  <si>
    <t>Calculated influent BOD5</t>
  </si>
  <si>
    <t>Alkalinity in molar units</t>
  </si>
  <si>
    <t>Biodegradable COD</t>
  </si>
  <si>
    <t>Total</t>
  </si>
  <si>
    <t>Estimate key organic fractions and check if your estimated BOD and COD matches the measured data</t>
  </si>
  <si>
    <t>Copy results to Sumo (Sumo1 Concentration based influent, Input Setup tab)</t>
  </si>
  <si>
    <t>Color code</t>
  </si>
  <si>
    <t>Meaning</t>
  </si>
  <si>
    <t>Black</t>
  </si>
  <si>
    <t>Calculation result, cannot be edited</t>
  </si>
  <si>
    <t>Intermediate result, cannot be edited</t>
  </si>
  <si>
    <t>Objective</t>
  </si>
  <si>
    <t>Enter measured data - estimate missing data. The tool will help to refine your estimates.</t>
  </si>
  <si>
    <r>
      <t>S</t>
    </r>
    <r>
      <rPr>
        <b/>
        <vertAlign val="subscript"/>
        <sz val="11"/>
        <color theme="1"/>
        <rFont val="Calibri"/>
        <family val="2"/>
        <scheme val="minor"/>
      </rPr>
      <t>VFA</t>
    </r>
  </si>
  <si>
    <r>
      <t>S</t>
    </r>
    <r>
      <rPr>
        <b/>
        <vertAlign val="subscript"/>
        <sz val="11"/>
        <color indexed="8"/>
        <rFont val="Calibri"/>
        <family val="2"/>
        <scheme val="minor"/>
      </rPr>
      <t>B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</si>
  <si>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MEOL</t>
    </r>
  </si>
  <si>
    <r>
      <t>C</t>
    </r>
    <r>
      <rPr>
        <b/>
        <vertAlign val="subscript"/>
        <sz val="11"/>
        <color indexed="8"/>
        <rFont val="Calibri"/>
        <family val="2"/>
        <scheme val="minor"/>
      </rPr>
      <t>B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</si>
  <si>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B</t>
    </r>
  </si>
  <si>
    <r>
      <t>S</t>
    </r>
    <r>
      <rPr>
        <b/>
        <vertAlign val="subscript"/>
        <sz val="11"/>
        <color indexed="8"/>
        <rFont val="Calibri"/>
        <family val="2"/>
        <scheme val="minor"/>
      </rPr>
      <t>U</t>
    </r>
  </si>
  <si>
    <r>
      <t>C</t>
    </r>
    <r>
      <rPr>
        <b/>
        <vertAlign val="subscript"/>
        <sz val="11"/>
        <color indexed="8"/>
        <rFont val="Calibri"/>
        <family val="2"/>
        <scheme val="minor"/>
      </rPr>
      <t>U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</si>
  <si>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U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</si>
  <si>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PHA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</si>
  <si>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E</t>
    </r>
  </si>
  <si>
    <t>Endogenous decay products</t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</si>
  <si>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OHO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</si>
  <si>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MEOLO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</si>
  <si>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NITO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</si>
  <si>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AMETO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</si>
  <si>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HMETO</t>
    </r>
  </si>
  <si>
    <t>Filtered</t>
  </si>
  <si>
    <t>Filtered flocculated</t>
  </si>
  <si>
    <t>cBOD estimation</t>
  </si>
  <si>
    <t>Key components</t>
  </si>
  <si>
    <t>Colloidal slowly biodegradable substrate</t>
  </si>
  <si>
    <t>Particulate slowly biodegradable substrate</t>
  </si>
  <si>
    <t>%</t>
  </si>
  <si>
    <t>Other components</t>
  </si>
  <si>
    <t>% of total</t>
  </si>
  <si>
    <t>Check fractions</t>
  </si>
  <si>
    <t>COD/BOD/TSS/VSS match</t>
  </si>
  <si>
    <t>Error tolerances</t>
  </si>
  <si>
    <t>BOD</t>
  </si>
  <si>
    <t>TSS&amp;VSS</t>
  </si>
  <si>
    <t>no match</t>
  </si>
  <si>
    <t>good match</t>
  </si>
  <si>
    <t>Verdict</t>
  </si>
  <si>
    <t>Version</t>
  </si>
  <si>
    <t>3 - 8</t>
  </si>
  <si>
    <t>Calcium</t>
  </si>
  <si>
    <t>To be estimated</t>
  </si>
  <si>
    <t>Usual value in US</t>
  </si>
  <si>
    <t>Influent fractions from data</t>
  </si>
  <si>
    <t>Influent fractions to estimate</t>
  </si>
  <si>
    <t>Particulate COD</t>
  </si>
  <si>
    <t>Key indicators for sanity check</t>
  </si>
  <si>
    <t>Particulate COD/VSS</t>
  </si>
  <si>
    <r>
      <t>MGD or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/d</t>
    </r>
  </si>
  <si>
    <t>NH4 fraction of TKN</t>
  </si>
  <si>
    <t>PO4 fraction of TP</t>
  </si>
  <si>
    <t>Grey</t>
  </si>
  <si>
    <t>Parameter under development, not used</t>
  </si>
  <si>
    <t>Unbiodegradable fraction of filtered COD</t>
  </si>
  <si>
    <t>Overall COD/VSS ratio</t>
  </si>
  <si>
    <t>Measured</t>
  </si>
  <si>
    <t>Calculated from weighted average</t>
  </si>
  <si>
    <t>Size factor</t>
  </si>
  <si>
    <t>For one day simulation, copy-paste ONE of the blue highlighted areas to Sumo influent dynamics</t>
  </si>
  <si>
    <t>For longer diurnal simulation, use 24 hour cycletime in Sumo Input Setup/Dynamics</t>
  </si>
  <si>
    <t>Diurnal flow</t>
  </si>
  <si>
    <t>Weighted average COD/VSS</t>
  </si>
  <si>
    <r>
      <t>Influent cBOD</t>
    </r>
    <r>
      <rPr>
        <vertAlign val="subscript"/>
        <sz val="11"/>
        <rFont val="Calibri"/>
        <family val="2"/>
        <scheme val="minor"/>
      </rPr>
      <t>5</t>
    </r>
  </si>
  <si>
    <t>mg COD/mg VSS</t>
  </si>
  <si>
    <r>
      <t>Other salts expressed as 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and NaCl</t>
    </r>
  </si>
  <si>
    <t xml:space="preserve">Inorganic (fixed) suspended solids </t>
  </si>
  <si>
    <t>mg TSS/L</t>
  </si>
  <si>
    <r>
      <t>BOD</t>
    </r>
    <r>
      <rPr>
        <vertAlign val="subscript"/>
        <sz val="11"/>
        <color indexed="8"/>
        <rFont val="Calibri"/>
        <family val="2"/>
      </rPr>
      <t>20</t>
    </r>
    <r>
      <rPr>
        <sz val="11"/>
        <color indexed="8"/>
        <rFont val="Calibri"/>
        <family val="2"/>
      </rPr>
      <t xml:space="preserve"> (Ultimate BOD)</t>
    </r>
  </si>
  <si>
    <r>
      <t>cBOD</t>
    </r>
    <r>
      <rPr>
        <vertAlign val="subscript"/>
        <sz val="11"/>
        <color indexed="8"/>
        <rFont val="Calibri"/>
        <family val="2"/>
      </rPr>
      <t>5</t>
    </r>
  </si>
  <si>
    <r>
      <t>g TSS/m</t>
    </r>
    <r>
      <rPr>
        <vertAlign val="superscript"/>
        <sz val="11"/>
        <rFont val="Calibri"/>
        <family val="2"/>
        <scheme val="minor"/>
      </rPr>
      <t>3</t>
    </r>
  </si>
  <si>
    <t>Influent constituents (usually zero or otherwise calculated)</t>
  </si>
  <si>
    <r>
      <t>g COD/m</t>
    </r>
    <r>
      <rPr>
        <vertAlign val="superscript"/>
        <sz val="11"/>
        <rFont val="Calibri"/>
        <family val="2"/>
        <scheme val="minor"/>
      </rPr>
      <t>3</t>
    </r>
  </si>
  <si>
    <r>
      <t>g 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3</t>
    </r>
  </si>
  <si>
    <r>
      <t>mg 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/L</t>
    </r>
  </si>
  <si>
    <r>
      <t>g N/m</t>
    </r>
    <r>
      <rPr>
        <vertAlign val="superscript"/>
        <sz val="11"/>
        <rFont val="Calibri"/>
        <family val="2"/>
        <scheme val="minor"/>
      </rPr>
      <t>3</t>
    </r>
  </si>
  <si>
    <t>mg N/L</t>
  </si>
  <si>
    <t>mg P/L</t>
  </si>
  <si>
    <r>
      <t>g P/m</t>
    </r>
    <r>
      <rPr>
        <vertAlign val="superscript"/>
        <sz val="11"/>
        <rFont val="Calibri"/>
        <family val="2"/>
        <scheme val="minor"/>
      </rPr>
      <t>3</t>
    </r>
  </si>
  <si>
    <r>
      <t>g CaCO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3</t>
    </r>
  </si>
  <si>
    <r>
      <t>mg CaCO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/L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</si>
  <si>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/d</t>
    </r>
  </si>
  <si>
    <t>mg Fe/L</t>
  </si>
  <si>
    <r>
      <t>g Fe/m</t>
    </r>
    <r>
      <rPr>
        <vertAlign val="superscript"/>
        <sz val="11"/>
        <rFont val="Calibri"/>
        <family val="2"/>
        <scheme val="minor"/>
      </rPr>
      <t>3</t>
    </r>
  </si>
  <si>
    <t>Particulate COD/VSS ratios by component</t>
  </si>
  <si>
    <t>Sumo forms</t>
  </si>
  <si>
    <t>Calculations</t>
  </si>
  <si>
    <t>BOD calculations and error tolerances</t>
  </si>
  <si>
    <t>Help</t>
  </si>
  <si>
    <t>This sheet</t>
  </si>
  <si>
    <t>so-so…</t>
  </si>
  <si>
    <r>
      <t>g Ca.m</t>
    </r>
    <r>
      <rPr>
        <vertAlign val="superscript"/>
        <sz val="11"/>
        <rFont val="Calibri"/>
        <family val="2"/>
        <scheme val="minor"/>
      </rPr>
      <t>-3</t>
    </r>
  </si>
  <si>
    <r>
      <t>g Cl.m</t>
    </r>
    <r>
      <rPr>
        <vertAlign val="superscript"/>
        <sz val="11"/>
        <rFont val="Calibri"/>
        <family val="2"/>
        <scheme val="minor"/>
      </rPr>
      <t>-3</t>
    </r>
  </si>
  <si>
    <r>
      <t>g Mg.m</t>
    </r>
    <r>
      <rPr>
        <vertAlign val="superscript"/>
        <sz val="11"/>
        <rFont val="Calibri"/>
        <family val="2"/>
        <scheme val="minor"/>
      </rPr>
      <t>-3</t>
    </r>
  </si>
  <si>
    <t>100-300</t>
  </si>
  <si>
    <t>Anions (expressed as chloride)</t>
  </si>
  <si>
    <t>Ionic components</t>
  </si>
  <si>
    <t>d</t>
  </si>
  <si>
    <t>h</t>
  </si>
  <si>
    <t>m3/d</t>
  </si>
  <si>
    <t>pH and alkalinity</t>
  </si>
  <si>
    <t>Potassium</t>
  </si>
  <si>
    <r>
      <t>g K.m</t>
    </r>
    <r>
      <rPr>
        <vertAlign val="superscript"/>
        <sz val="11"/>
        <rFont val="Calibri"/>
        <family val="2"/>
        <scheme val="minor"/>
      </rPr>
      <t>-3</t>
    </r>
  </si>
  <si>
    <t>mg Ca/L</t>
  </si>
  <si>
    <t>mg Mg/L</t>
  </si>
  <si>
    <t>mg Cl/L</t>
  </si>
  <si>
    <r>
      <t>g Na.m</t>
    </r>
    <r>
      <rPr>
        <vertAlign val="superscript"/>
        <sz val="11"/>
        <rFont val="Calibri"/>
        <family val="2"/>
        <scheme val="minor"/>
      </rPr>
      <t>-3</t>
    </r>
  </si>
  <si>
    <t>mg Na/L</t>
  </si>
  <si>
    <t>Anaerobic endogenous decay product</t>
  </si>
  <si>
    <t>Cations (expressed as Sodium)</t>
  </si>
  <si>
    <t>Other measurements  indicators for sanity check</t>
  </si>
  <si>
    <t>COD - BOD indicators for sanity check</t>
  </si>
  <si>
    <r>
      <t>mg O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/L</t>
    </r>
  </si>
  <si>
    <t>mg BOD/L</t>
  </si>
  <si>
    <t>mg CaCO3/L</t>
  </si>
  <si>
    <t>N in biomass</t>
  </si>
  <si>
    <t>Soluble biodegradable organic N</t>
  </si>
  <si>
    <t>Particulate biodegradable organic N</t>
  </si>
  <si>
    <t>Particulate unbiodegradable organic N</t>
  </si>
  <si>
    <t>Key components N</t>
  </si>
  <si>
    <t>N content of biomasses</t>
  </si>
  <si>
    <r>
      <t>g N.g COD</t>
    </r>
    <r>
      <rPr>
        <vertAlign val="superscript"/>
        <sz val="11"/>
        <rFont val="Calibri"/>
        <family val="2"/>
        <scheme val="minor"/>
      </rPr>
      <t>-1</t>
    </r>
  </si>
  <si>
    <t>P content of biomasses</t>
  </si>
  <si>
    <r>
      <t>g P.g COD</t>
    </r>
    <r>
      <rPr>
        <vertAlign val="superscript"/>
        <sz val="11"/>
        <rFont val="Calibri"/>
        <family val="2"/>
        <scheme val="minor"/>
      </rPr>
      <t>-1</t>
    </r>
  </si>
  <si>
    <t>Model parameters</t>
  </si>
  <si>
    <t>P in biomass</t>
  </si>
  <si>
    <t>Soluble biodegradable organic P</t>
  </si>
  <si>
    <t>Particulate biodegradable organic P</t>
  </si>
  <si>
    <t>Particulate unbiodegradable organic P</t>
  </si>
  <si>
    <t>Key components P</t>
  </si>
  <si>
    <t>Colloidal biodegradable organic N</t>
  </si>
  <si>
    <t>Soluble unbiodegradable organic N</t>
  </si>
  <si>
    <t>Colloidal unbiodegradable organic N</t>
  </si>
  <si>
    <t>Colloidal biodegradable organic P</t>
  </si>
  <si>
    <t>Soluble unbiodegradable organic P</t>
  </si>
  <si>
    <t>Colloidal unbiodegradable organic P</t>
  </si>
  <si>
    <t>Total TKN</t>
  </si>
  <si>
    <t>Total P</t>
  </si>
  <si>
    <t>Balance passed</t>
  </si>
  <si>
    <t>Default %</t>
  </si>
  <si>
    <t>To be estimated %</t>
  </si>
  <si>
    <t>VSS/TSS fraction</t>
  </si>
  <si>
    <t>Calculated from data %</t>
  </si>
  <si>
    <t>Check that COD, N, P components add up to totals</t>
  </si>
  <si>
    <t>N content of colloidal substrate</t>
  </si>
  <si>
    <t>N content of colloidal inert organics</t>
  </si>
  <si>
    <t>N content of soluble inerts</t>
  </si>
  <si>
    <t>P content of colloidal substrate</t>
  </si>
  <si>
    <t>P content of colloidal inert organics</t>
  </si>
  <si>
    <t>P content of soluble inerts</t>
  </si>
  <si>
    <t>12 - 15</t>
  </si>
  <si>
    <t>TDM</t>
  </si>
  <si>
    <t>Dissolved material</t>
  </si>
  <si>
    <t>BOD/TSS ratio</t>
  </si>
  <si>
    <t>10 -20</t>
  </si>
  <si>
    <t>65 - 75</t>
  </si>
  <si>
    <t>50- 60</t>
  </si>
  <si>
    <t>BOD calculation</t>
  </si>
  <si>
    <t>Yield on ultimate BOD (g O2.g COD-1)</t>
  </si>
  <si>
    <t>Fraction of BOD5 to ultimate BOD in soluble biodegradable substrates (-)</t>
  </si>
  <si>
    <t>Fraction of BOD5 to ultimate BOD in colloidal biodegradable substrates (-)</t>
  </si>
  <si>
    <t>Fraction of BOD5 to ultimate BOD in particulate biodegradable substrates (-)</t>
  </si>
  <si>
    <t>Fraction of filtered COD (SCCOD, 1.5 µm, incl. colloids) in total COD (TCOD)</t>
  </si>
  <si>
    <t>Fraction of flocculated filtered (SCOD, wo colloids) COD in total COD (TCOD)</t>
  </si>
  <si>
    <t>Fraction of VFA in filtered COD (SCCOD, 1.5 µm, incl. colloids)</t>
  </si>
  <si>
    <t>Fraction of soluble unbiodegradable organics (SU) in filtered COD (SCCOD, 1.5 µm, incl. colloids)</t>
  </si>
  <si>
    <t>Fraction of particulate unbiodegradable organics (XU) in total COD (TCOD)</t>
  </si>
  <si>
    <t>Fraction of heterotrophs (OHO) in total COD (TCOD)</t>
  </si>
  <si>
    <t>Fraction of colloidal unbiodegradable organics (CU) in colloidal COD (SCCOD-SCOD)</t>
  </si>
  <si>
    <t>Fraction of N in readily biodegradable substrate (SB)</t>
  </si>
  <si>
    <t>Fraction of N in particulate unbiodegradable substrate (XU)</t>
  </si>
  <si>
    <t>Fraction of P in readily biodegradable substrate (SB)</t>
  </si>
  <si>
    <t>Fraction of P in particulate unbiodegradable substrate (XU)</t>
  </si>
  <si>
    <t>COD of biomass in volatile solids</t>
  </si>
  <si>
    <t>COD of biodegradable substrate in volatile solids</t>
  </si>
  <si>
    <t>COD of particulate unbiodegradable organics in volatile solids</t>
  </si>
  <si>
    <t>COD of endogenous products in volatile solids</t>
  </si>
  <si>
    <t>COD of PHA in volatile solids</t>
  </si>
  <si>
    <t>To be estimated
g COD/g VSS</t>
  </si>
  <si>
    <t>Model setup</t>
  </si>
  <si>
    <t>Key parameters</t>
  </si>
  <si>
    <t>g COD/g VSS</t>
  </si>
  <si>
    <t>Yield on ultimate BOD</t>
  </si>
  <si>
    <r>
      <t>g 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/g DCO</t>
    </r>
  </si>
  <si>
    <t>Influent input setup</t>
  </si>
  <si>
    <t>Fraction of VSS/TSS</t>
  </si>
  <si>
    <t>Fraction of NHx in total Kjeldahl nitrogen (TKN)</t>
  </si>
  <si>
    <t>Fraction of PO4 in total phosphorus (TP)</t>
  </si>
  <si>
    <t>Dissolved oxygen (O2)</t>
  </si>
  <si>
    <t>Methanol (MEOL)</t>
  </si>
  <si>
    <t>Stored polyhydroxyalkanoates (PHA)</t>
  </si>
  <si>
    <t>Anaerobic endogenous decay products</t>
  </si>
  <si>
    <t>Anoxic methanol utilizers (MEOLO)</t>
  </si>
  <si>
    <t>Aerobic nitrifying organisms (NITO)</t>
  </si>
  <si>
    <t>Acidoclastic methanogens (AMETO)</t>
  </si>
  <si>
    <t>Hydrogenotrophic methanogens (HMETO)</t>
  </si>
  <si>
    <t>Nitrite and nitrate (NOx)</t>
  </si>
  <si>
    <t>Dissolved nitrogen (N2)</t>
  </si>
  <si>
    <t>Stored polyphosphate (PP)</t>
  </si>
  <si>
    <t>Dissolved methane (CH4)</t>
  </si>
  <si>
    <t>Dissolved hydrogen (H2)</t>
  </si>
  <si>
    <t>Ferric ion (Fe3)</t>
  </si>
  <si>
    <t>Ferrous ion (Fe2)</t>
  </si>
  <si>
    <t>Aged unused hydrous ferric oxide (HFO,old)</t>
  </si>
  <si>
    <t>P-bound hydrous ferric oxide, high surface (HFO,H,P)</t>
  </si>
  <si>
    <t>P-bound hydrous ferric oxide, low surface (HFO,L,P)</t>
  </si>
  <si>
    <t>Calcium carbonate (CaCO3)</t>
  </si>
  <si>
    <t>Amorphous calcium phosphate (ACP)</t>
  </si>
  <si>
    <t>Struvite (STR)</t>
  </si>
  <si>
    <t>Vivianite (Vivi)</t>
  </si>
  <si>
    <t>Stored glycogen (GLY)</t>
  </si>
  <si>
    <r>
      <t>Active site factor for HFO</t>
    </r>
    <r>
      <rPr>
        <vertAlign val="subscript"/>
        <sz val="11"/>
        <rFont val="Calibri"/>
        <family val="2"/>
        <scheme val="minor"/>
      </rPr>
      <t>H</t>
    </r>
  </si>
  <si>
    <r>
      <t>mol P.mol Fe</t>
    </r>
    <r>
      <rPr>
        <vertAlign val="superscript"/>
        <sz val="11"/>
        <rFont val="Calibri"/>
        <family val="2"/>
        <scheme val="minor"/>
      </rPr>
      <t>-1</t>
    </r>
  </si>
  <si>
    <r>
      <t>Active site factor for HFO</t>
    </r>
    <r>
      <rPr>
        <vertAlign val="subscript"/>
        <sz val="11"/>
        <rFont val="Calibri"/>
        <family val="2"/>
        <scheme val="minor"/>
      </rPr>
      <t>L</t>
    </r>
  </si>
  <si>
    <t>Atomic mass of phosphorus</t>
  </si>
  <si>
    <r>
      <t>g.mol</t>
    </r>
    <r>
      <rPr>
        <vertAlign val="superscript"/>
        <sz val="11"/>
        <rFont val="Calibri"/>
        <family val="2"/>
        <scheme val="minor"/>
      </rPr>
      <t>-1</t>
    </r>
  </si>
  <si>
    <t>Atomic mass of iron</t>
  </si>
  <si>
    <t>Stored polyphosphates</t>
  </si>
  <si>
    <t>Total phosphorus in HFOs</t>
  </si>
  <si>
    <t>Stored Glycogen</t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</si>
  <si>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GLY</t>
    </r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</si>
  <si>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E,ana</t>
    </r>
  </si>
  <si>
    <t>Ordinary heterotrophs (OHO)</t>
  </si>
  <si>
    <t>This tool helps to convert measured influent data into Sumo1 model input fractions</t>
  </si>
  <si>
    <t>only if "Calculated pH" option is on</t>
  </si>
  <si>
    <t>BOD stoichiometry</t>
  </si>
  <si>
    <t>N content of endogenous products</t>
  </si>
  <si>
    <t>N in endogenous decay product</t>
  </si>
  <si>
    <r>
      <t>g Al/m</t>
    </r>
    <r>
      <rPr>
        <vertAlign val="superscript"/>
        <sz val="11"/>
        <rFont val="Calibri"/>
        <family val="2"/>
        <scheme val="minor"/>
      </rPr>
      <t>3</t>
    </r>
  </si>
  <si>
    <t>mg Al/L</t>
  </si>
  <si>
    <t>Fraction of endogenous products (XE) of OHOs</t>
  </si>
  <si>
    <t>TCOD</t>
  </si>
  <si>
    <t>day</t>
  </si>
  <si>
    <t>fQ</t>
  </si>
  <si>
    <t>fConc</t>
  </si>
  <si>
    <t>max month</t>
  </si>
  <si>
    <t>Qavg, dry</t>
  </si>
  <si>
    <t>Dry</t>
  </si>
  <si>
    <t>dry</t>
  </si>
  <si>
    <t>max day</t>
  </si>
  <si>
    <t>end</t>
  </si>
  <si>
    <t>hr</t>
  </si>
  <si>
    <t>Crushed (16d) Birthday Cake</t>
  </si>
  <si>
    <t>Red is input</t>
  </si>
  <si>
    <t>Scaling table</t>
  </si>
  <si>
    <t>cCOD</t>
  </si>
  <si>
    <t>ffCOD</t>
  </si>
  <si>
    <t>XB</t>
  </si>
  <si>
    <t>XU</t>
  </si>
  <si>
    <t>XOHO</t>
  </si>
  <si>
    <t>Others</t>
  </si>
  <si>
    <t>CB</t>
  </si>
  <si>
    <t>CU</t>
  </si>
  <si>
    <t>SB</t>
  </si>
  <si>
    <t>SU</t>
  </si>
  <si>
    <t>SVFA</t>
  </si>
  <si>
    <t>XE</t>
  </si>
  <si>
    <t>Total chemical oxidation demand</t>
  </si>
  <si>
    <t>Particulate chemical oxidation demand</t>
  </si>
  <si>
    <t>Filtered chemical oxidation demand</t>
  </si>
  <si>
    <t>Percentage distribution based on subgroups</t>
  </si>
  <si>
    <t>Percentage based on total</t>
  </si>
  <si>
    <t>Total Nitrogen</t>
  </si>
  <si>
    <t>Nitrate plus nitrite</t>
  </si>
  <si>
    <t>XN,B</t>
  </si>
  <si>
    <t>XN,U</t>
  </si>
  <si>
    <t>SN,B</t>
  </si>
  <si>
    <t>N of biomass</t>
  </si>
  <si>
    <t>N of XE</t>
  </si>
  <si>
    <t>N content of CB</t>
  </si>
  <si>
    <t>N content of CU</t>
  </si>
  <si>
    <t>mgN/L</t>
  </si>
  <si>
    <t>Particulate organic N</t>
  </si>
  <si>
    <t>N content of SU</t>
  </si>
  <si>
    <t>Total organic P</t>
  </si>
  <si>
    <t>Ortho phosphate</t>
  </si>
  <si>
    <t>Particulate organic P</t>
  </si>
  <si>
    <t>Colloidal organic P</t>
  </si>
  <si>
    <t>Soluble organic P</t>
  </si>
  <si>
    <t>P of biomass</t>
  </si>
  <si>
    <t>XP,B</t>
  </si>
  <si>
    <t>XP,U</t>
  </si>
  <si>
    <t>P content of CB</t>
  </si>
  <si>
    <t>P content of CU</t>
  </si>
  <si>
    <t>SP,B</t>
  </si>
  <si>
    <t>P content of SU</t>
  </si>
  <si>
    <t>Total suspended solids</t>
  </si>
  <si>
    <t>mg SS/L</t>
  </si>
  <si>
    <t>Volatile suspended solids</t>
  </si>
  <si>
    <t>Inorganic suspended solids</t>
  </si>
  <si>
    <t>Stored P</t>
  </si>
  <si>
    <t>Fraction of heterotrophs (OHO) in total COD</t>
  </si>
  <si>
    <t>Carbon storing organisms (CASTO)</t>
  </si>
  <si>
    <t>Sumo1 components considered for COD and BOD calculations</t>
  </si>
  <si>
    <r>
      <t>X</t>
    </r>
    <r>
      <rPr>
        <b/>
        <vertAlign val="subscript"/>
        <sz val="11"/>
        <color indexed="8"/>
        <rFont val="Calibri"/>
        <family val="2"/>
        <scheme val="minor"/>
      </rPr>
      <t>CASTO</t>
    </r>
  </si>
  <si>
    <t>Total Kjeldahl Nitrogen</t>
  </si>
  <si>
    <t>Total Organic Nitrogen</t>
  </si>
  <si>
    <t>Total ammonia</t>
  </si>
  <si>
    <t>Colloidal organic N</t>
  </si>
  <si>
    <t>Soluble organic N</t>
  </si>
  <si>
    <t>Total Phosphorus</t>
  </si>
  <si>
    <t>Other strong cations (as sodium)</t>
  </si>
  <si>
    <t>Aluminium (Al)</t>
  </si>
  <si>
    <t>Aged unused hydrous aluminium oxide (HAO,old)</t>
  </si>
  <si>
    <t>P-bound hydrous aluminium oxide, high surface (HAO,H,P)</t>
  </si>
  <si>
    <t>P-bound hydrous aluminium oxide, low surface (HAO,L,P)</t>
  </si>
  <si>
    <t>Aged P-bound hydrous aluminium oxide, high surface (HAO,H,P,old)</t>
  </si>
  <si>
    <t>Aged P-bound hydrous aluminium oxide, low surface (HAO,L,P,old)</t>
  </si>
  <si>
    <t>Brushite (BSH)</t>
  </si>
  <si>
    <t>Other strong anions (as chloride)</t>
  </si>
  <si>
    <t>TSS content of PP</t>
  </si>
  <si>
    <r>
      <t>g X</t>
    </r>
    <r>
      <rPr>
        <vertAlign val="subscript"/>
        <sz val="11"/>
        <color indexed="8"/>
        <rFont val="Calibri"/>
        <family val="2"/>
        <charset val="238"/>
      </rPr>
      <t>TSS</t>
    </r>
    <r>
      <rPr>
        <sz val="11"/>
        <color indexed="8"/>
        <rFont val="Calibri"/>
        <family val="2"/>
      </rPr>
      <t>.g XPP</t>
    </r>
    <r>
      <rPr>
        <vertAlign val="superscript"/>
        <sz val="11"/>
        <color indexed="8"/>
        <rFont val="Calibri"/>
        <family val="2"/>
        <charset val="238"/>
      </rPr>
      <t>-1</t>
    </r>
  </si>
  <si>
    <r>
      <t>Fraction of H</t>
    </r>
    <r>
      <rPr>
        <vertAlign val="sub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</rPr>
      <t>O loss in TSS test for HAO</t>
    </r>
  </si>
  <si>
    <r>
      <t>Fraction of H</t>
    </r>
    <r>
      <rPr>
        <vertAlign val="sub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</rPr>
      <t>O loss in TSS test for HFO</t>
    </r>
  </si>
  <si>
    <r>
      <t>g H</t>
    </r>
    <r>
      <rPr>
        <vertAlign val="sub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</rPr>
      <t>O.g Al(OH)</t>
    </r>
    <r>
      <rPr>
        <vertAlign val="subscript"/>
        <sz val="11"/>
        <color indexed="8"/>
        <rFont val="Calibri"/>
        <family val="2"/>
        <charset val="238"/>
      </rPr>
      <t>3</t>
    </r>
    <r>
      <rPr>
        <vertAlign val="superscript"/>
        <sz val="11"/>
        <color indexed="8"/>
        <rFont val="Calibri"/>
        <family val="2"/>
        <charset val="238"/>
      </rPr>
      <t>-1</t>
    </r>
  </si>
  <si>
    <r>
      <t>g H</t>
    </r>
    <r>
      <rPr>
        <vertAlign val="sub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</rPr>
      <t>O.g Fe(OH)</t>
    </r>
    <r>
      <rPr>
        <vertAlign val="subscript"/>
        <sz val="11"/>
        <color indexed="8"/>
        <rFont val="Calibri"/>
        <family val="2"/>
        <charset val="238"/>
      </rPr>
      <t>3</t>
    </r>
    <r>
      <rPr>
        <vertAlign val="superscript"/>
        <sz val="11"/>
        <color indexed="8"/>
        <rFont val="Calibri"/>
        <family val="2"/>
        <charset val="238"/>
      </rPr>
      <t>-1</t>
    </r>
  </si>
  <si>
    <t>Active site factor for HAO,H</t>
  </si>
  <si>
    <t>Active site factor for HAO,L</t>
  </si>
  <si>
    <r>
      <t>mol P.mol Al</t>
    </r>
    <r>
      <rPr>
        <vertAlign val="superscript"/>
        <sz val="11"/>
        <color indexed="8"/>
        <rFont val="Calibri"/>
        <family val="2"/>
        <charset val="238"/>
      </rPr>
      <t>-1</t>
    </r>
  </si>
  <si>
    <t>Atomic mass of aluminium</t>
  </si>
  <si>
    <t>Molecular mass of phosphate</t>
  </si>
  <si>
    <r>
      <t>Molecular mass of Fe(OH)</t>
    </r>
    <r>
      <rPr>
        <vertAlign val="subscript"/>
        <sz val="11"/>
        <color indexed="8"/>
        <rFont val="Calibri"/>
        <family val="2"/>
        <charset val="238"/>
      </rPr>
      <t>3</t>
    </r>
  </si>
  <si>
    <r>
      <t>Molecular mass of Al(OH)</t>
    </r>
    <r>
      <rPr>
        <vertAlign val="subscript"/>
        <sz val="11"/>
        <color indexed="8"/>
        <rFont val="Calibri"/>
        <family val="2"/>
        <charset val="238"/>
      </rPr>
      <t>3</t>
    </r>
  </si>
  <si>
    <t>Total HFOs in TSS unit</t>
  </si>
  <si>
    <t>Total HAOs in TSS unit</t>
  </si>
  <si>
    <t>Total TSS</t>
  </si>
  <si>
    <t>Total volatile solid</t>
  </si>
  <si>
    <t>Total precipitates</t>
  </si>
  <si>
    <r>
      <t>g COD.g VS</t>
    </r>
    <r>
      <rPr>
        <vertAlign val="superscript"/>
        <sz val="11"/>
        <rFont val="Calibri"/>
        <family val="2"/>
        <scheme val="minor"/>
      </rPr>
      <t>-1</t>
    </r>
  </si>
  <si>
    <t>Sumo22</t>
  </si>
  <si>
    <t>Total phosphorus in HAOs</t>
  </si>
  <si>
    <t>Stored polyphosphates in TSS unit</t>
  </si>
  <si>
    <t>www.dynamita.com</t>
  </si>
  <si>
    <t>Symbol</t>
  </si>
  <si>
    <r>
      <t>T</t>
    </r>
    <r>
      <rPr>
        <vertAlign val="subscript"/>
        <sz val="11"/>
        <rFont val="Calibri"/>
        <family val="2"/>
        <scheme val="minor"/>
      </rPr>
      <t>COD</t>
    </r>
  </si>
  <si>
    <r>
      <t>T</t>
    </r>
    <r>
      <rPr>
        <vertAlign val="subscript"/>
        <sz val="11"/>
        <rFont val="Calibri"/>
        <family val="2"/>
        <scheme val="minor"/>
      </rPr>
      <t>KN</t>
    </r>
  </si>
  <si>
    <r>
      <t>T</t>
    </r>
    <r>
      <rPr>
        <vertAlign val="subscript"/>
        <sz val="11"/>
        <rFont val="Calibri"/>
        <family val="2"/>
        <scheme val="minor"/>
      </rPr>
      <t>P</t>
    </r>
  </si>
  <si>
    <r>
      <t>S</t>
    </r>
    <r>
      <rPr>
        <vertAlign val="subscript"/>
        <sz val="11"/>
        <rFont val="Calibri"/>
        <family val="2"/>
        <scheme val="minor"/>
      </rPr>
      <t>ALK,input</t>
    </r>
  </si>
  <si>
    <r>
      <t>fr</t>
    </r>
    <r>
      <rPr>
        <vertAlign val="subscript"/>
        <sz val="11"/>
        <rFont val="Calibri"/>
        <family val="2"/>
        <scheme val="minor"/>
      </rPr>
      <t>VSS,TSS</t>
    </r>
  </si>
  <si>
    <r>
      <t>fr</t>
    </r>
    <r>
      <rPr>
        <vertAlign val="subscript"/>
        <sz val="11"/>
        <rFont val="Calibri"/>
        <family val="2"/>
        <scheme val="minor"/>
      </rPr>
      <t>SCCOD,TCOD</t>
    </r>
  </si>
  <si>
    <r>
      <t>fr</t>
    </r>
    <r>
      <rPr>
        <vertAlign val="subscript"/>
        <sz val="11"/>
        <rFont val="Calibri"/>
        <family val="2"/>
        <scheme val="minor"/>
      </rPr>
      <t>SCOD,TCOD</t>
    </r>
  </si>
  <si>
    <r>
      <t>fr</t>
    </r>
    <r>
      <rPr>
        <vertAlign val="subscript"/>
        <sz val="11"/>
        <rFont val="Calibri"/>
        <family val="2"/>
        <scheme val="minor"/>
      </rPr>
      <t>VFA,SCCOD</t>
    </r>
  </si>
  <si>
    <r>
      <t>fr</t>
    </r>
    <r>
      <rPr>
        <vertAlign val="subscript"/>
        <sz val="11"/>
        <rFont val="Calibri"/>
        <family val="2"/>
        <scheme val="minor"/>
      </rPr>
      <t>SU,SCCOD</t>
    </r>
  </si>
  <si>
    <r>
      <t>fr</t>
    </r>
    <r>
      <rPr>
        <vertAlign val="subscript"/>
        <sz val="11"/>
        <rFont val="Calibri"/>
        <family val="2"/>
        <scheme val="minor"/>
      </rPr>
      <t>XU,TCOD</t>
    </r>
  </si>
  <si>
    <r>
      <t>fr</t>
    </r>
    <r>
      <rPr>
        <vertAlign val="subscript"/>
        <sz val="11"/>
        <rFont val="Calibri"/>
        <family val="2"/>
        <scheme val="minor"/>
      </rPr>
      <t>XOHO,TCOD</t>
    </r>
  </si>
  <si>
    <r>
      <t>fr</t>
    </r>
    <r>
      <rPr>
        <vertAlign val="subscript"/>
        <sz val="11"/>
        <rFont val="Calibri"/>
        <family val="2"/>
        <scheme val="minor"/>
      </rPr>
      <t>XE,XOHO</t>
    </r>
  </si>
  <si>
    <r>
      <t>fr</t>
    </r>
    <r>
      <rPr>
        <vertAlign val="subscript"/>
        <sz val="11"/>
        <rFont val="Calibri"/>
        <family val="2"/>
        <scheme val="minor"/>
      </rPr>
      <t>CU,CCOD</t>
    </r>
  </si>
  <si>
    <r>
      <t>fr</t>
    </r>
    <r>
      <rPr>
        <vertAlign val="subscript"/>
        <sz val="11"/>
        <rFont val="Calibri"/>
        <family val="2"/>
        <scheme val="minor"/>
      </rPr>
      <t>SNHx,TKN</t>
    </r>
  </si>
  <si>
    <r>
      <t>fr</t>
    </r>
    <r>
      <rPr>
        <vertAlign val="subscript"/>
        <sz val="11"/>
        <rFont val="Calibri"/>
        <family val="2"/>
        <scheme val="minor"/>
      </rPr>
      <t>SPO4,TP</t>
    </r>
  </si>
  <si>
    <r>
      <t>fr</t>
    </r>
    <r>
      <rPr>
        <vertAlign val="subscript"/>
        <sz val="11"/>
        <rFont val="Calibri"/>
        <family val="2"/>
        <scheme val="minor"/>
      </rPr>
      <t>N,SB</t>
    </r>
  </si>
  <si>
    <r>
      <t>fr</t>
    </r>
    <r>
      <rPr>
        <vertAlign val="subscript"/>
        <sz val="11"/>
        <rFont val="Calibri"/>
        <family val="2"/>
        <scheme val="minor"/>
      </rPr>
      <t>N,XU</t>
    </r>
  </si>
  <si>
    <r>
      <t>fr</t>
    </r>
    <r>
      <rPr>
        <vertAlign val="subscript"/>
        <sz val="11"/>
        <rFont val="Calibri"/>
        <family val="2"/>
        <scheme val="minor"/>
      </rPr>
      <t>P,SB</t>
    </r>
  </si>
  <si>
    <r>
      <t>fr</t>
    </r>
    <r>
      <rPr>
        <vertAlign val="subscript"/>
        <sz val="11"/>
        <rFont val="Calibri"/>
        <family val="2"/>
        <scheme val="minor"/>
      </rPr>
      <t>P,XU</t>
    </r>
  </si>
  <si>
    <r>
      <t>S</t>
    </r>
    <r>
      <rPr>
        <vertAlign val="subscript"/>
        <sz val="11"/>
        <rFont val="Calibri"/>
        <family val="2"/>
        <scheme val="minor"/>
      </rPr>
      <t>Ca</t>
    </r>
  </si>
  <si>
    <r>
      <t>S</t>
    </r>
    <r>
      <rPr>
        <vertAlign val="subscript"/>
        <sz val="11"/>
        <rFont val="Calibri"/>
        <family val="2"/>
        <scheme val="minor"/>
      </rPr>
      <t>Mg</t>
    </r>
  </si>
  <si>
    <r>
      <t>S</t>
    </r>
    <r>
      <rPr>
        <vertAlign val="subscript"/>
        <sz val="11"/>
        <rFont val="Calibri"/>
        <family val="2"/>
        <scheme val="minor"/>
      </rPr>
      <t>K</t>
    </r>
  </si>
  <si>
    <r>
      <t>S</t>
    </r>
    <r>
      <rPr>
        <vertAlign val="subscript"/>
        <sz val="11"/>
        <rFont val="Calibri"/>
        <family val="2"/>
        <scheme val="minor"/>
      </rPr>
      <t>AN</t>
    </r>
  </si>
  <si>
    <r>
      <t>S</t>
    </r>
    <r>
      <rPr>
        <vertAlign val="subscript"/>
        <sz val="11"/>
        <rFont val="Calibri"/>
        <family val="2"/>
        <scheme val="minor"/>
      </rPr>
      <t>CAT</t>
    </r>
  </si>
  <si>
    <r>
      <t>S</t>
    </r>
    <r>
      <rPr>
        <vertAlign val="subscript"/>
        <sz val="11"/>
        <rFont val="Calibri"/>
        <family val="2"/>
        <scheme val="minor"/>
      </rPr>
      <t>O2</t>
    </r>
  </si>
  <si>
    <r>
      <t>S</t>
    </r>
    <r>
      <rPr>
        <vertAlign val="subscript"/>
        <sz val="11"/>
        <rFont val="Calibri"/>
        <family val="2"/>
        <scheme val="minor"/>
      </rPr>
      <t>MEOL</t>
    </r>
  </si>
  <si>
    <r>
      <t>X</t>
    </r>
    <r>
      <rPr>
        <vertAlign val="subscript"/>
        <sz val="11"/>
        <rFont val="Calibri"/>
        <family val="2"/>
        <scheme val="minor"/>
      </rPr>
      <t>PHA</t>
    </r>
  </si>
  <si>
    <r>
      <t>X</t>
    </r>
    <r>
      <rPr>
        <vertAlign val="subscript"/>
        <sz val="11"/>
        <rFont val="Calibri"/>
        <family val="2"/>
        <scheme val="minor"/>
      </rPr>
      <t>GLY</t>
    </r>
  </si>
  <si>
    <r>
      <t>X</t>
    </r>
    <r>
      <rPr>
        <vertAlign val="subscript"/>
        <sz val="11"/>
        <rFont val="Calibri"/>
        <family val="2"/>
        <scheme val="minor"/>
      </rPr>
      <t>E,ana</t>
    </r>
  </si>
  <si>
    <r>
      <t>X</t>
    </r>
    <r>
      <rPr>
        <vertAlign val="subscript"/>
        <sz val="11"/>
        <rFont val="Calibri"/>
        <family val="2"/>
        <scheme val="minor"/>
      </rPr>
      <t>CASTO</t>
    </r>
  </si>
  <si>
    <r>
      <t>X</t>
    </r>
    <r>
      <rPr>
        <vertAlign val="subscript"/>
        <sz val="11"/>
        <rFont val="Calibri"/>
        <family val="2"/>
        <scheme val="minor"/>
      </rPr>
      <t>MEOLO</t>
    </r>
  </si>
  <si>
    <r>
      <t>X</t>
    </r>
    <r>
      <rPr>
        <vertAlign val="subscript"/>
        <sz val="11"/>
        <rFont val="Calibri"/>
        <family val="2"/>
        <scheme val="minor"/>
      </rPr>
      <t>NITO</t>
    </r>
  </si>
  <si>
    <r>
      <t>X</t>
    </r>
    <r>
      <rPr>
        <vertAlign val="subscript"/>
        <sz val="11"/>
        <rFont val="Calibri"/>
        <family val="2"/>
        <scheme val="minor"/>
      </rPr>
      <t>AMETO</t>
    </r>
  </si>
  <si>
    <r>
      <t>X</t>
    </r>
    <r>
      <rPr>
        <vertAlign val="subscript"/>
        <sz val="11"/>
        <rFont val="Calibri"/>
        <family val="2"/>
        <scheme val="minor"/>
      </rPr>
      <t>HMETO</t>
    </r>
  </si>
  <si>
    <r>
      <t>S</t>
    </r>
    <r>
      <rPr>
        <vertAlign val="subscript"/>
        <sz val="11"/>
        <rFont val="Calibri"/>
        <family val="2"/>
        <scheme val="minor"/>
      </rPr>
      <t>NOx</t>
    </r>
  </si>
  <si>
    <r>
      <t>S</t>
    </r>
    <r>
      <rPr>
        <vertAlign val="subscript"/>
        <sz val="11"/>
        <rFont val="Calibri"/>
        <family val="2"/>
        <scheme val="minor"/>
      </rPr>
      <t>N2</t>
    </r>
  </si>
  <si>
    <r>
      <t>X</t>
    </r>
    <r>
      <rPr>
        <vertAlign val="subscript"/>
        <sz val="11"/>
        <rFont val="Calibri"/>
        <family val="2"/>
        <scheme val="minor"/>
      </rPr>
      <t>PP</t>
    </r>
  </si>
  <si>
    <r>
      <t>S</t>
    </r>
    <r>
      <rPr>
        <vertAlign val="subscript"/>
        <sz val="11"/>
        <rFont val="Calibri"/>
        <family val="2"/>
        <scheme val="minor"/>
      </rPr>
      <t>CH4</t>
    </r>
  </si>
  <si>
    <r>
      <t>S</t>
    </r>
    <r>
      <rPr>
        <vertAlign val="subscript"/>
        <sz val="11"/>
        <rFont val="Calibri"/>
        <family val="2"/>
        <scheme val="minor"/>
      </rPr>
      <t>H2</t>
    </r>
  </si>
  <si>
    <r>
      <t>S</t>
    </r>
    <r>
      <rPr>
        <vertAlign val="subscript"/>
        <sz val="11"/>
        <rFont val="Calibri"/>
        <family val="2"/>
        <charset val="238"/>
        <scheme val="minor"/>
      </rPr>
      <t>Fe3</t>
    </r>
  </si>
  <si>
    <r>
      <t>S</t>
    </r>
    <r>
      <rPr>
        <vertAlign val="subscript"/>
        <sz val="11"/>
        <rFont val="Calibri"/>
        <family val="2"/>
        <charset val="238"/>
        <scheme val="minor"/>
      </rPr>
      <t>Fe2</t>
    </r>
  </si>
  <si>
    <r>
      <t>S</t>
    </r>
    <r>
      <rPr>
        <vertAlign val="subscript"/>
        <sz val="11"/>
        <rFont val="Calibri"/>
        <family val="2"/>
        <charset val="238"/>
        <scheme val="minor"/>
      </rPr>
      <t>Al</t>
    </r>
  </si>
  <si>
    <r>
      <t>X</t>
    </r>
    <r>
      <rPr>
        <vertAlign val="subscript"/>
        <sz val="11"/>
        <rFont val="Calibri"/>
        <family val="2"/>
        <charset val="238"/>
        <scheme val="minor"/>
      </rPr>
      <t>HFO,old</t>
    </r>
  </si>
  <si>
    <r>
      <t>X</t>
    </r>
    <r>
      <rPr>
        <vertAlign val="subscript"/>
        <sz val="11"/>
        <rFont val="Calibri"/>
        <family val="2"/>
        <scheme val="minor"/>
      </rPr>
      <t>HFO,H,P</t>
    </r>
  </si>
  <si>
    <r>
      <t>X</t>
    </r>
    <r>
      <rPr>
        <vertAlign val="subscript"/>
        <sz val="11"/>
        <rFont val="Calibri"/>
        <family val="2"/>
        <scheme val="minor"/>
      </rPr>
      <t>HFO,L,P</t>
    </r>
  </si>
  <si>
    <r>
      <t>X</t>
    </r>
    <r>
      <rPr>
        <vertAlign val="subscript"/>
        <sz val="11"/>
        <rFont val="Calibri"/>
        <family val="2"/>
        <charset val="238"/>
        <scheme val="minor"/>
      </rPr>
      <t>HFO,H,P,old</t>
    </r>
  </si>
  <si>
    <r>
      <t>X</t>
    </r>
    <r>
      <rPr>
        <vertAlign val="subscript"/>
        <sz val="11"/>
        <rFont val="Calibri"/>
        <family val="2"/>
        <charset val="238"/>
        <scheme val="minor"/>
      </rPr>
      <t>HFO,L,P,old</t>
    </r>
  </si>
  <si>
    <r>
      <t>X</t>
    </r>
    <r>
      <rPr>
        <vertAlign val="subscript"/>
        <sz val="11"/>
        <rFont val="Calibri"/>
        <family val="2"/>
        <scheme val="minor"/>
      </rPr>
      <t>HAO,old</t>
    </r>
  </si>
  <si>
    <r>
      <t>X</t>
    </r>
    <r>
      <rPr>
        <vertAlign val="subscript"/>
        <sz val="11"/>
        <rFont val="Calibri"/>
        <family val="2"/>
        <scheme val="minor"/>
      </rPr>
      <t>HAO,H,P</t>
    </r>
  </si>
  <si>
    <r>
      <t>X</t>
    </r>
    <r>
      <rPr>
        <vertAlign val="subscript"/>
        <sz val="11"/>
        <rFont val="Calibri"/>
        <family val="2"/>
        <scheme val="minor"/>
      </rPr>
      <t>HAO,L,P</t>
    </r>
  </si>
  <si>
    <r>
      <t>X</t>
    </r>
    <r>
      <rPr>
        <vertAlign val="subscript"/>
        <sz val="11"/>
        <rFont val="Calibri"/>
        <family val="2"/>
      </rPr>
      <t>HAO,H,P,old</t>
    </r>
  </si>
  <si>
    <r>
      <t>X</t>
    </r>
    <r>
      <rPr>
        <vertAlign val="subscript"/>
        <sz val="11"/>
        <rFont val="Calibri"/>
        <family val="2"/>
      </rPr>
      <t>HAO,L,P,old</t>
    </r>
  </si>
  <si>
    <r>
      <t>X</t>
    </r>
    <r>
      <rPr>
        <vertAlign val="subscript"/>
        <sz val="12"/>
        <rFont val="Calibri"/>
        <family val="2"/>
        <scheme val="minor"/>
      </rPr>
      <t>CaCO3</t>
    </r>
  </si>
  <si>
    <r>
      <t>X</t>
    </r>
    <r>
      <rPr>
        <b/>
        <vertAlign val="subscript"/>
        <sz val="11"/>
        <rFont val="Calibri"/>
        <family val="2"/>
        <scheme val="minor"/>
      </rPr>
      <t>ACP</t>
    </r>
  </si>
  <si>
    <r>
      <t>X</t>
    </r>
    <r>
      <rPr>
        <vertAlign val="subscript"/>
        <sz val="11"/>
        <rFont val="Calibri"/>
        <family val="2"/>
        <scheme val="minor"/>
      </rPr>
      <t>BSH</t>
    </r>
  </si>
  <si>
    <r>
      <t>X</t>
    </r>
    <r>
      <rPr>
        <vertAlign val="subscript"/>
        <sz val="12"/>
        <rFont val="Calibri"/>
        <family val="2"/>
        <scheme val="minor"/>
      </rPr>
      <t>STR</t>
    </r>
  </si>
  <si>
    <r>
      <t>X</t>
    </r>
    <r>
      <rPr>
        <b/>
        <vertAlign val="subscript"/>
        <sz val="11"/>
        <rFont val="Calibri"/>
        <family val="2"/>
        <scheme val="minor"/>
      </rPr>
      <t>Vivi</t>
    </r>
  </si>
  <si>
    <r>
      <t>i</t>
    </r>
    <r>
      <rPr>
        <vertAlign val="subscript"/>
        <sz val="11"/>
        <rFont val="Calibri"/>
        <family val="2"/>
        <scheme val="minor"/>
      </rPr>
      <t>CV,XB</t>
    </r>
  </si>
  <si>
    <r>
      <t>i</t>
    </r>
    <r>
      <rPr>
        <vertAlign val="subscript"/>
        <sz val="11"/>
        <rFont val="Calibri"/>
        <family val="2"/>
        <scheme val="minor"/>
      </rPr>
      <t>CV,XU</t>
    </r>
  </si>
  <si>
    <r>
      <t>i</t>
    </r>
    <r>
      <rPr>
        <vertAlign val="subscript"/>
        <sz val="11"/>
        <rFont val="Calibri"/>
        <family val="2"/>
        <scheme val="minor"/>
      </rPr>
      <t>CV,BIO</t>
    </r>
  </si>
  <si>
    <r>
      <t>i</t>
    </r>
    <r>
      <rPr>
        <vertAlign val="subscript"/>
        <sz val="11"/>
        <rFont val="Calibri"/>
        <family val="2"/>
        <scheme val="minor"/>
      </rPr>
      <t>CV,XE</t>
    </r>
  </si>
  <si>
    <r>
      <t>Y</t>
    </r>
    <r>
      <rPr>
        <vertAlign val="subscript"/>
        <sz val="11"/>
        <rFont val="Calibri"/>
        <family val="2"/>
        <scheme val="minor"/>
      </rPr>
      <t>BOD,ult</t>
    </r>
  </si>
  <si>
    <r>
      <t>f</t>
    </r>
    <r>
      <rPr>
        <vertAlign val="subscript"/>
        <sz val="11"/>
        <rFont val="Calibri"/>
        <family val="2"/>
        <scheme val="minor"/>
      </rPr>
      <t>S,BOD5,BODult</t>
    </r>
  </si>
  <si>
    <r>
      <t>f</t>
    </r>
    <r>
      <rPr>
        <vertAlign val="subscript"/>
        <sz val="11"/>
        <rFont val="Calibri"/>
        <family val="2"/>
        <scheme val="minor"/>
      </rPr>
      <t>C,BOD5,BODult</t>
    </r>
  </si>
  <si>
    <r>
      <t>f</t>
    </r>
    <r>
      <rPr>
        <vertAlign val="subscript"/>
        <sz val="11"/>
        <rFont val="Calibri"/>
        <family val="2"/>
        <scheme val="minor"/>
      </rPr>
      <t>X,BOD5,BODult</t>
    </r>
  </si>
  <si>
    <t>Aged P-bound hydrous ferric oxide, high surface (HFO,H,P,old)</t>
  </si>
  <si>
    <t>Aged P-bound hydrous ferric oxide, low surface (HFO,L,P,old)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</si>
</sst>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000"/>
    <numFmt numFmtId="167" formatCode="0.000"/>
    <numFmt numFmtId="168" formatCode="0.0%"/>
  </numFmts>
  <fonts count="6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</font>
    <font>
      <sz val="11"/>
      <color indexed="8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indexed="8"/>
      <name val="Calibri"/>
      <family val="2"/>
      <scheme val="minor"/>
    </font>
    <font>
      <vertAlign val="subscript"/>
      <sz val="11"/>
      <color indexed="8"/>
      <name val="Calibri"/>
      <family val="2"/>
    </font>
    <font>
      <b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4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</font>
    <font>
      <vertAlign val="subscript"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u/>
      <sz val="12"/>
      <color theme="10"/>
      <name val="Calibri"/>
      <family val="2"/>
      <scheme val="minor"/>
    </font>
    <font>
      <sz val="14"/>
      <color indexed="8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4"/>
      <name val="Calibri"/>
      <family val="2"/>
    </font>
    <font>
      <b/>
      <sz val="14"/>
      <color rgb="FF00B050"/>
      <name val="Calibri"/>
      <family val="2"/>
    </font>
    <font>
      <b/>
      <sz val="14"/>
      <color indexed="8"/>
      <name val="Calibri"/>
      <family val="2"/>
    </font>
    <font>
      <b/>
      <sz val="14"/>
      <color theme="0" tint="-0.34998626667073579"/>
      <name val="Calibri"/>
      <family val="2"/>
    </font>
    <font>
      <vertAlign val="subscript"/>
      <sz val="11"/>
      <name val="Calibri"/>
      <family val="2"/>
      <charset val="238"/>
      <scheme val="minor"/>
    </font>
    <font>
      <vertAlign val="subscript"/>
      <sz val="11"/>
      <name val="Calibri"/>
      <family val="2"/>
    </font>
    <font>
      <vertAlign val="subscript"/>
      <sz val="12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3" fillId="0" borderId="0"/>
    <xf numFmtId="0" fontId="12" fillId="0" borderId="0"/>
    <xf numFmtId="9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 applyNumberFormat="0" applyFill="0" applyBorder="0" applyAlignment="0" applyProtection="0"/>
  </cellStyleXfs>
  <cellXfs count="477">
    <xf numFmtId="0" fontId="0" fillId="0" borderId="0" xfId="0"/>
    <xf numFmtId="0" fontId="0" fillId="0" borderId="0" xfId="0" applyAlignment="1">
      <alignment horizontal="center" vertical="center"/>
    </xf>
    <xf numFmtId="165" fontId="24" fillId="0" borderId="0" xfId="2" applyNumberFormat="1" applyFont="1"/>
    <xf numFmtId="165" fontId="12" fillId="0" borderId="0" xfId="2" applyNumberFormat="1"/>
    <xf numFmtId="165" fontId="12" fillId="0" borderId="0" xfId="2" applyNumberFormat="1" applyAlignment="1">
      <alignment horizontal="center" vertical="center"/>
    </xf>
    <xf numFmtId="0" fontId="12" fillId="0" borderId="0" xfId="2" applyAlignment="1">
      <alignment horizontal="center" vertical="center"/>
    </xf>
    <xf numFmtId="0" fontId="12" fillId="0" borderId="0" xfId="2"/>
    <xf numFmtId="0" fontId="14" fillId="0" borderId="0" xfId="2" applyFont="1"/>
    <xf numFmtId="165" fontId="14" fillId="0" borderId="0" xfId="2" applyNumberFormat="1" applyFont="1"/>
    <xf numFmtId="165" fontId="12" fillId="0" borderId="0" xfId="2" applyNumberFormat="1" applyAlignment="1">
      <alignment horizontal="right"/>
    </xf>
    <xf numFmtId="0" fontId="23" fillId="0" borderId="0" xfId="2" applyFont="1"/>
    <xf numFmtId="165" fontId="12" fillId="0" borderId="0" xfId="2" applyNumberFormat="1" applyAlignment="1">
      <alignment horizontal="left" vertical="center"/>
    </xf>
    <xf numFmtId="0" fontId="12" fillId="0" borderId="0" xfId="2" applyAlignment="1">
      <alignment horizontal="left" vertical="center"/>
    </xf>
    <xf numFmtId="165" fontId="12" fillId="0" borderId="12" xfId="2" applyNumberFormat="1" applyBorder="1"/>
    <xf numFmtId="166" fontId="12" fillId="0" borderId="13" xfId="2" applyNumberFormat="1" applyBorder="1" applyAlignment="1">
      <alignment horizontal="center" vertical="center"/>
    </xf>
    <xf numFmtId="165" fontId="12" fillId="0" borderId="13" xfId="2" applyNumberFormat="1" applyBorder="1" applyAlignment="1">
      <alignment horizontal="left" vertical="center"/>
    </xf>
    <xf numFmtId="165" fontId="12" fillId="0" borderId="13" xfId="2" applyNumberFormat="1" applyBorder="1" applyAlignment="1">
      <alignment horizontal="center" vertical="center"/>
    </xf>
    <xf numFmtId="164" fontId="12" fillId="0" borderId="13" xfId="2" applyNumberFormat="1" applyBorder="1" applyAlignment="1">
      <alignment horizontal="center" vertical="center"/>
    </xf>
    <xf numFmtId="0" fontId="12" fillId="0" borderId="13" xfId="2" applyBorder="1" applyAlignment="1">
      <alignment horizontal="center" vertical="center"/>
    </xf>
    <xf numFmtId="164" fontId="12" fillId="0" borderId="14" xfId="2" applyNumberFormat="1" applyBorder="1" applyAlignment="1">
      <alignment horizontal="center" vertical="center"/>
    </xf>
    <xf numFmtId="165" fontId="12" fillId="0" borderId="0" xfId="2" applyNumberFormat="1" applyAlignment="1">
      <alignment horizontal="center"/>
    </xf>
    <xf numFmtId="165" fontId="12" fillId="2" borderId="0" xfId="2" applyNumberFormat="1" applyFill="1" applyAlignment="1">
      <alignment horizontal="center" vertical="center"/>
    </xf>
    <xf numFmtId="0" fontId="12" fillId="2" borderId="0" xfId="2" applyFill="1" applyAlignment="1">
      <alignment horizontal="center" vertical="center"/>
    </xf>
    <xf numFmtId="167" fontId="12" fillId="2" borderId="0" xfId="2" applyNumberFormat="1" applyFill="1" applyAlignment="1">
      <alignment horizontal="center" vertical="center"/>
    </xf>
    <xf numFmtId="0" fontId="14" fillId="3" borderId="7" xfId="1" applyFont="1" applyFill="1" applyBorder="1" applyAlignment="1">
      <alignment horizontal="center" vertical="center" wrapText="1"/>
    </xf>
    <xf numFmtId="164" fontId="26" fillId="0" borderId="7" xfId="1" applyNumberFormat="1" applyFont="1" applyBorder="1" applyAlignment="1" applyProtection="1">
      <alignment horizontal="center" vertical="center"/>
      <protection locked="0"/>
    </xf>
    <xf numFmtId="164" fontId="38" fillId="0" borderId="7" xfId="1" applyNumberFormat="1" applyFont="1" applyBorder="1" applyAlignment="1" applyProtection="1">
      <alignment horizontal="center" vertical="center"/>
      <protection locked="0"/>
    </xf>
    <xf numFmtId="164" fontId="26" fillId="0" borderId="10" xfId="1" applyNumberFormat="1" applyFont="1" applyBorder="1" applyAlignment="1" applyProtection="1">
      <alignment horizontal="center" vertical="center"/>
      <protection locked="0"/>
    </xf>
    <xf numFmtId="0" fontId="9" fillId="0" borderId="0" xfId="2" applyFont="1"/>
    <xf numFmtId="165" fontId="12" fillId="0" borderId="0" xfId="2" applyNumberFormat="1" applyAlignment="1">
      <alignment horizontal="left"/>
    </xf>
    <xf numFmtId="164" fontId="32" fillId="0" borderId="0" xfId="2" applyNumberFormat="1" applyFont="1" applyAlignment="1" applyProtection="1">
      <alignment horizontal="center" vertical="center"/>
      <protection locked="0"/>
    </xf>
    <xf numFmtId="0" fontId="18" fillId="3" borderId="6" xfId="1" applyFont="1" applyFill="1" applyBorder="1" applyAlignment="1">
      <alignment horizontal="left" vertical="center" wrapText="1"/>
    </xf>
    <xf numFmtId="0" fontId="18" fillId="3" borderId="23" xfId="1" applyFont="1" applyFill="1" applyBorder="1" applyAlignment="1">
      <alignment horizontal="left" vertical="center" wrapText="1"/>
    </xf>
    <xf numFmtId="164" fontId="27" fillId="3" borderId="7" xfId="0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164" fontId="27" fillId="3" borderId="3" xfId="0" applyNumberFormat="1" applyFont="1" applyFill="1" applyBorder="1" applyAlignment="1">
      <alignment horizontal="center" vertical="center"/>
    </xf>
    <xf numFmtId="168" fontId="27" fillId="3" borderId="4" xfId="3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center" vertical="center"/>
    </xf>
    <xf numFmtId="164" fontId="16" fillId="3" borderId="8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164" fontId="16" fillId="3" borderId="10" xfId="0" applyNumberFormat="1" applyFont="1" applyFill="1" applyBorder="1" applyAlignment="1">
      <alignment horizontal="center" vertical="center"/>
    </xf>
    <xf numFmtId="164" fontId="16" fillId="3" borderId="1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164" fontId="32" fillId="0" borderId="7" xfId="1" applyNumberFormat="1" applyFont="1" applyBorder="1" applyAlignment="1" applyProtection="1">
      <alignment horizontal="center" vertical="center"/>
      <protection locked="0"/>
    </xf>
    <xf numFmtId="164" fontId="32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0" xfId="1" applyAlignment="1">
      <alignment horizontal="left" vertical="center"/>
    </xf>
    <xf numFmtId="0" fontId="13" fillId="0" borderId="0" xfId="1" applyAlignment="1">
      <alignment horizontal="center" vertical="center"/>
    </xf>
    <xf numFmtId="0" fontId="13" fillId="0" borderId="0" xfId="1"/>
    <xf numFmtId="0" fontId="18" fillId="3" borderId="6" xfId="1" applyFont="1" applyFill="1" applyBorder="1" applyAlignment="1">
      <alignment horizontal="left" vertical="center"/>
    </xf>
    <xf numFmtId="164" fontId="18" fillId="3" borderId="7" xfId="1" applyNumberFormat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left" vertical="center"/>
    </xf>
    <xf numFmtId="0" fontId="18" fillId="3" borderId="10" xfId="1" quotePrefix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7" xfId="1" quotePrefix="1" applyFont="1" applyFill="1" applyBorder="1" applyAlignment="1">
      <alignment horizontal="center" vertical="center"/>
    </xf>
    <xf numFmtId="0" fontId="18" fillId="3" borderId="8" xfId="1" quotePrefix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9" fillId="3" borderId="6" xfId="1" applyFont="1" applyFill="1" applyBorder="1" applyAlignment="1">
      <alignment horizontal="left" vertical="center"/>
    </xf>
    <xf numFmtId="0" fontId="18" fillId="3" borderId="10" xfId="1" applyFont="1" applyFill="1" applyBorder="1" applyAlignment="1">
      <alignment horizontal="center" vertical="center"/>
    </xf>
    <xf numFmtId="0" fontId="13" fillId="3" borderId="7" xfId="1" applyFill="1" applyBorder="1" applyAlignment="1">
      <alignment horizontal="center" vertical="center"/>
    </xf>
    <xf numFmtId="2" fontId="26" fillId="0" borderId="8" xfId="1" applyNumberFormat="1" applyFont="1" applyBorder="1" applyAlignment="1" applyProtection="1">
      <alignment horizontal="center" vertical="center"/>
      <protection locked="0"/>
    </xf>
    <xf numFmtId="2" fontId="35" fillId="0" borderId="8" xfId="1" applyNumberFormat="1" applyFont="1" applyBorder="1" applyAlignment="1" applyProtection="1">
      <alignment horizontal="center" vertical="center"/>
      <protection locked="0"/>
    </xf>
    <xf numFmtId="2" fontId="26" fillId="0" borderId="11" xfId="1" applyNumberFormat="1" applyFont="1" applyBorder="1" applyAlignment="1" applyProtection="1">
      <alignment horizontal="center" vertical="center"/>
      <protection locked="0"/>
    </xf>
    <xf numFmtId="0" fontId="26" fillId="0" borderId="8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2" fontId="18" fillId="3" borderId="7" xfId="1" applyNumberFormat="1" applyFont="1" applyFill="1" applyBorder="1" applyAlignment="1">
      <alignment horizontal="center" vertical="center"/>
    </xf>
    <xf numFmtId="0" fontId="18" fillId="3" borderId="15" xfId="1" applyFont="1" applyFill="1" applyBorder="1" applyAlignment="1">
      <alignment horizontal="left" vertical="center"/>
    </xf>
    <xf numFmtId="164" fontId="18" fillId="3" borderId="16" xfId="1" applyNumberFormat="1" applyFont="1" applyFill="1" applyBorder="1" applyAlignment="1">
      <alignment horizontal="center" vertical="center"/>
    </xf>
    <xf numFmtId="164" fontId="17" fillId="3" borderId="16" xfId="1" applyNumberFormat="1" applyFont="1" applyFill="1" applyBorder="1" applyAlignment="1">
      <alignment horizontal="center" vertical="center"/>
    </xf>
    <xf numFmtId="164" fontId="17" fillId="3" borderId="7" xfId="1" applyNumberFormat="1" applyFont="1" applyFill="1" applyBorder="1" applyAlignment="1">
      <alignment horizontal="center" vertical="center"/>
    </xf>
    <xf numFmtId="164" fontId="18" fillId="3" borderId="10" xfId="1" applyNumberFormat="1" applyFont="1" applyFill="1" applyBorder="1" applyAlignment="1">
      <alignment horizontal="center" vertical="center"/>
    </xf>
    <xf numFmtId="164" fontId="17" fillId="3" borderId="10" xfId="1" applyNumberFormat="1" applyFont="1" applyFill="1" applyBorder="1" applyAlignment="1">
      <alignment horizontal="center" vertical="center"/>
    </xf>
    <xf numFmtId="2" fontId="18" fillId="3" borderId="10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8" fillId="3" borderId="6" xfId="1" applyFont="1" applyFill="1" applyBorder="1" applyAlignment="1">
      <alignment vertical="center"/>
    </xf>
    <xf numFmtId="0" fontId="13" fillId="3" borderId="6" xfId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left" vertical="center"/>
    </xf>
    <xf numFmtId="2" fontId="17" fillId="3" borderId="7" xfId="1" applyNumberFormat="1" applyFont="1" applyFill="1" applyBorder="1" applyAlignment="1">
      <alignment horizontal="center" vertical="center"/>
    </xf>
    <xf numFmtId="2" fontId="13" fillId="3" borderId="8" xfId="1" applyNumberForma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left" vertical="center"/>
    </xf>
    <xf numFmtId="2" fontId="36" fillId="3" borderId="7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37" fillId="3" borderId="6" xfId="1" applyFont="1" applyFill="1" applyBorder="1" applyAlignment="1">
      <alignment vertical="center"/>
    </xf>
    <xf numFmtId="0" fontId="37" fillId="3" borderId="8" xfId="1" applyFont="1" applyFill="1" applyBorder="1" applyAlignment="1">
      <alignment horizontal="center" vertical="center"/>
    </xf>
    <xf numFmtId="0" fontId="37" fillId="0" borderId="0" xfId="1" applyFont="1"/>
    <xf numFmtId="0" fontId="37" fillId="3" borderId="6" xfId="1" applyFont="1" applyFill="1" applyBorder="1" applyAlignment="1">
      <alignment horizontal="left" vertical="center"/>
    </xf>
    <xf numFmtId="164" fontId="38" fillId="3" borderId="7" xfId="1" applyNumberFormat="1" applyFont="1" applyFill="1" applyBorder="1" applyAlignment="1">
      <alignment horizontal="center" vertical="center"/>
    </xf>
    <xf numFmtId="0" fontId="37" fillId="3" borderId="7" xfId="1" applyFont="1" applyFill="1" applyBorder="1" applyAlignment="1">
      <alignment horizontal="center" vertical="center"/>
    </xf>
    <xf numFmtId="2" fontId="37" fillId="3" borderId="8" xfId="1" applyNumberFormat="1" applyFont="1" applyFill="1" applyBorder="1" applyAlignment="1">
      <alignment horizontal="center" vertical="center"/>
    </xf>
    <xf numFmtId="0" fontId="13" fillId="3" borderId="6" xfId="1" applyFill="1" applyBorder="1" applyAlignment="1">
      <alignment horizontal="left" vertical="center"/>
    </xf>
    <xf numFmtId="2" fontId="38" fillId="3" borderId="7" xfId="1" applyNumberFormat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2" fontId="10" fillId="3" borderId="8" xfId="1" quotePrefix="1" applyNumberFormat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2" fontId="13" fillId="3" borderId="17" xfId="1" applyNumberFormat="1" applyFill="1" applyBorder="1" applyAlignment="1">
      <alignment horizontal="center" vertical="center"/>
    </xf>
    <xf numFmtId="2" fontId="13" fillId="3" borderId="7" xfId="1" applyNumberFormat="1" applyFill="1" applyBorder="1" applyAlignment="1">
      <alignment horizontal="center" vertical="center"/>
    </xf>
    <xf numFmtId="164" fontId="13" fillId="3" borderId="8" xfId="1" applyNumberForma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164" fontId="40" fillId="0" borderId="7" xfId="1" applyNumberFormat="1" applyFont="1" applyBorder="1" applyAlignment="1" applyProtection="1">
      <alignment horizontal="center" vertical="center"/>
      <protection locked="0"/>
    </xf>
    <xf numFmtId="164" fontId="40" fillId="0" borderId="10" xfId="1" applyNumberFormat="1" applyFont="1" applyBorder="1" applyAlignment="1" applyProtection="1">
      <alignment horizontal="center" vertical="center"/>
      <protection locked="0"/>
    </xf>
    <xf numFmtId="0" fontId="18" fillId="3" borderId="15" xfId="1" applyFont="1" applyFill="1" applyBorder="1" applyAlignment="1">
      <alignment vertical="center"/>
    </xf>
    <xf numFmtId="164" fontId="26" fillId="0" borderId="16" xfId="1" applyNumberFormat="1" applyFont="1" applyBorder="1" applyAlignment="1" applyProtection="1">
      <alignment horizontal="center" vertical="center"/>
      <protection locked="0"/>
    </xf>
    <xf numFmtId="0" fontId="18" fillId="3" borderId="17" xfId="1" applyFont="1" applyFill="1" applyBorder="1" applyAlignment="1">
      <alignment horizontal="center" vertical="center"/>
    </xf>
    <xf numFmtId="0" fontId="10" fillId="3" borderId="6" xfId="1" applyFont="1" applyFill="1" applyBorder="1"/>
    <xf numFmtId="0" fontId="18" fillId="3" borderId="9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left" vertical="center"/>
    </xf>
    <xf numFmtId="0" fontId="18" fillId="3" borderId="16" xfId="1" applyFont="1" applyFill="1" applyBorder="1" applyAlignment="1">
      <alignment horizontal="center" vertical="center"/>
    </xf>
    <xf numFmtId="16" fontId="7" fillId="3" borderId="8" xfId="1" quotePrefix="1" applyNumberFormat="1" applyFont="1" applyFill="1" applyBorder="1" applyAlignment="1">
      <alignment horizontal="center" vertical="center"/>
    </xf>
    <xf numFmtId="164" fontId="32" fillId="0" borderId="16" xfId="1" applyNumberFormat="1" applyFont="1" applyBorder="1" applyAlignment="1" applyProtection="1">
      <alignment horizontal="center" vertical="center"/>
      <protection locked="0"/>
    </xf>
    <xf numFmtId="2" fontId="18" fillId="3" borderId="16" xfId="1" applyNumberFormat="1" applyFont="1" applyFill="1" applyBorder="1" applyAlignment="1">
      <alignment horizontal="center" vertical="center"/>
    </xf>
    <xf numFmtId="0" fontId="35" fillId="0" borderId="17" xfId="1" applyFont="1" applyBorder="1" applyAlignment="1" applyProtection="1">
      <alignment horizontal="center" vertical="center"/>
      <protection locked="0"/>
    </xf>
    <xf numFmtId="0" fontId="8" fillId="3" borderId="6" xfId="1" applyFont="1" applyFill="1" applyBorder="1" applyAlignment="1">
      <alignment horizontal="left" vertical="center"/>
    </xf>
    <xf numFmtId="165" fontId="6" fillId="0" borderId="0" xfId="2" applyNumberFormat="1" applyFont="1" applyAlignment="1">
      <alignment horizontal="center"/>
    </xf>
    <xf numFmtId="165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12" fillId="2" borderId="0" xfId="2" applyNumberFormat="1" applyFill="1" applyAlignment="1">
      <alignment horizontal="center"/>
    </xf>
    <xf numFmtId="0" fontId="18" fillId="3" borderId="27" xfId="1" applyFont="1" applyFill="1" applyBorder="1" applyAlignment="1">
      <alignment horizontal="left" vertical="center"/>
    </xf>
    <xf numFmtId="0" fontId="18" fillId="3" borderId="23" xfId="1" applyFont="1" applyFill="1" applyBorder="1" applyAlignment="1">
      <alignment horizontal="left" vertical="center"/>
    </xf>
    <xf numFmtId="164" fontId="32" fillId="0" borderId="5" xfId="1" applyNumberFormat="1" applyFont="1" applyBorder="1" applyAlignment="1" applyProtection="1">
      <alignment horizontal="center" vertical="center"/>
      <protection locked="0"/>
    </xf>
    <xf numFmtId="0" fontId="18" fillId="3" borderId="5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164" fontId="32" fillId="0" borderId="0" xfId="1" applyNumberFormat="1" applyFont="1" applyAlignment="1" applyProtection="1">
      <alignment horizontal="center" vertical="center"/>
      <protection locked="0"/>
    </xf>
    <xf numFmtId="164" fontId="18" fillId="3" borderId="5" xfId="1" applyNumberFormat="1" applyFont="1" applyFill="1" applyBorder="1" applyAlignment="1">
      <alignment horizontal="center" vertical="center"/>
    </xf>
    <xf numFmtId="0" fontId="18" fillId="3" borderId="16" xfId="1" quotePrefix="1" applyFont="1" applyFill="1" applyBorder="1" applyAlignment="1">
      <alignment horizontal="center" vertical="center"/>
    </xf>
    <xf numFmtId="0" fontId="18" fillId="3" borderId="17" xfId="1" quotePrefix="1" applyFont="1" applyFill="1" applyBorder="1" applyAlignment="1">
      <alignment horizontal="center" vertical="center"/>
    </xf>
    <xf numFmtId="0" fontId="18" fillId="3" borderId="11" xfId="1" quotePrefix="1" applyFont="1" applyFill="1" applyBorder="1" applyAlignment="1">
      <alignment horizontal="center" vertical="center"/>
    </xf>
    <xf numFmtId="164" fontId="40" fillId="0" borderId="5" xfId="1" applyNumberFormat="1" applyFont="1" applyBorder="1" applyAlignment="1" applyProtection="1">
      <alignment horizontal="center" vertical="center"/>
      <protection locked="0"/>
    </xf>
    <xf numFmtId="0" fontId="18" fillId="3" borderId="27" xfId="1" applyFont="1" applyFill="1" applyBorder="1" applyAlignment="1">
      <alignment horizontal="left" vertical="center" wrapText="1"/>
    </xf>
    <xf numFmtId="164" fontId="17" fillId="0" borderId="0" xfId="1" applyNumberFormat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18" fillId="3" borderId="23" xfId="1" applyFont="1" applyFill="1" applyBorder="1" applyAlignment="1">
      <alignment vertical="center"/>
    </xf>
    <xf numFmtId="164" fontId="26" fillId="0" borderId="5" xfId="1" applyNumberFormat="1" applyFont="1" applyBorder="1" applyAlignment="1" applyProtection="1">
      <alignment horizontal="center" vertical="center"/>
      <protection locked="0"/>
    </xf>
    <xf numFmtId="0" fontId="13" fillId="3" borderId="23" xfId="1" applyFill="1" applyBorder="1" applyAlignment="1">
      <alignment horizontal="center" vertical="center"/>
    </xf>
    <xf numFmtId="0" fontId="13" fillId="3" borderId="5" xfId="1" applyFill="1" applyBorder="1" applyAlignment="1">
      <alignment horizontal="center" vertical="center"/>
    </xf>
    <xf numFmtId="0" fontId="13" fillId="3" borderId="21" xfId="1" applyFill="1" applyBorder="1" applyAlignment="1">
      <alignment horizontal="center" vertical="center"/>
    </xf>
    <xf numFmtId="2" fontId="17" fillId="3" borderId="10" xfId="1" applyNumberFormat="1" applyFont="1" applyFill="1" applyBorder="1" applyAlignment="1">
      <alignment horizontal="center" vertical="center"/>
    </xf>
    <xf numFmtId="2" fontId="13" fillId="3" borderId="11" xfId="1" applyNumberFormat="1" applyFill="1" applyBorder="1" applyAlignment="1">
      <alignment horizontal="center" vertical="center"/>
    </xf>
    <xf numFmtId="0" fontId="13" fillId="3" borderId="9" xfId="1" applyFill="1" applyBorder="1" applyAlignment="1">
      <alignment horizontal="left" vertical="center"/>
    </xf>
    <xf numFmtId="0" fontId="13" fillId="3" borderId="10" xfId="1" applyFill="1" applyBorder="1" applyAlignment="1">
      <alignment horizontal="center" vertical="center"/>
    </xf>
    <xf numFmtId="16" fontId="7" fillId="3" borderId="11" xfId="1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3" borderId="19" xfId="1" applyFont="1" applyFill="1" applyBorder="1" applyAlignment="1">
      <alignment horizontal="left" vertical="center"/>
    </xf>
    <xf numFmtId="0" fontId="17" fillId="3" borderId="18" xfId="1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0" fontId="18" fillId="3" borderId="15" xfId="1" applyFont="1" applyFill="1" applyBorder="1" applyAlignment="1">
      <alignment horizontal="left" vertical="center" wrapText="1"/>
    </xf>
    <xf numFmtId="164" fontId="27" fillId="3" borderId="16" xfId="0" applyNumberFormat="1" applyFont="1" applyFill="1" applyBorder="1" applyAlignment="1">
      <alignment horizontal="center" vertical="center"/>
    </xf>
    <xf numFmtId="168" fontId="27" fillId="3" borderId="17" xfId="3" applyNumberFormat="1" applyFont="1" applyFill="1" applyBorder="1" applyAlignment="1">
      <alignment horizontal="center" vertical="center"/>
    </xf>
    <xf numFmtId="0" fontId="18" fillId="3" borderId="30" xfId="1" applyFont="1" applyFill="1" applyBorder="1" applyAlignment="1">
      <alignment horizontal="left" vertical="center" wrapText="1"/>
    </xf>
    <xf numFmtId="168" fontId="27" fillId="3" borderId="22" xfId="3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left" vertical="center"/>
    </xf>
    <xf numFmtId="0" fontId="17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center"/>
    </xf>
    <xf numFmtId="164" fontId="17" fillId="3" borderId="21" xfId="1" applyNumberFormat="1" applyFont="1" applyFill="1" applyBorder="1" applyAlignment="1">
      <alignment horizontal="center" vertical="center"/>
    </xf>
    <xf numFmtId="164" fontId="17" fillId="3" borderId="8" xfId="1" applyNumberFormat="1" applyFont="1" applyFill="1" applyBorder="1" applyAlignment="1">
      <alignment horizontal="center" vertical="center"/>
    </xf>
    <xf numFmtId="164" fontId="17" fillId="3" borderId="11" xfId="1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165" fontId="27" fillId="3" borderId="5" xfId="0" applyNumberFormat="1" applyFont="1" applyFill="1" applyBorder="1" applyAlignment="1">
      <alignment horizontal="center" vertical="center"/>
    </xf>
    <xf numFmtId="165" fontId="27" fillId="3" borderId="31" xfId="0" applyNumberFormat="1" applyFont="1" applyFill="1" applyBorder="1" applyAlignment="1">
      <alignment horizontal="center" vertical="center"/>
    </xf>
    <xf numFmtId="2" fontId="26" fillId="0" borderId="17" xfId="1" applyNumberFormat="1" applyFont="1" applyBorder="1" applyAlignment="1" applyProtection="1">
      <alignment horizontal="center" vertical="center"/>
      <protection locked="0"/>
    </xf>
    <xf numFmtId="2" fontId="4" fillId="3" borderId="8" xfId="1" quotePrefix="1" applyNumberFormat="1" applyFont="1" applyFill="1" applyBorder="1" applyAlignment="1">
      <alignment horizontal="center" vertical="center"/>
    </xf>
    <xf numFmtId="164" fontId="26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 applyAlignment="1">
      <alignment vertical="center"/>
    </xf>
    <xf numFmtId="2" fontId="4" fillId="3" borderId="17" xfId="1" quotePrefix="1" applyNumberFormat="1" applyFont="1" applyFill="1" applyBorder="1" applyAlignment="1">
      <alignment horizontal="center" vertical="center"/>
    </xf>
    <xf numFmtId="2" fontId="17" fillId="3" borderId="16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18" fillId="3" borderId="6" xfId="5" applyFont="1" applyFill="1" applyBorder="1" applyAlignment="1">
      <alignment horizontal="left" vertical="center"/>
    </xf>
    <xf numFmtId="0" fontId="18" fillId="3" borderId="9" xfId="5" applyFont="1" applyFill="1" applyBorder="1" applyAlignment="1">
      <alignment horizontal="left" vertical="center"/>
    </xf>
    <xf numFmtId="0" fontId="18" fillId="3" borderId="23" xfId="5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 wrapText="1"/>
    </xf>
    <xf numFmtId="2" fontId="27" fillId="3" borderId="16" xfId="0" applyNumberFormat="1" applyFont="1" applyFill="1" applyBorder="1" applyAlignment="1">
      <alignment horizontal="center" vertical="center"/>
    </xf>
    <xf numFmtId="2" fontId="18" fillId="3" borderId="6" xfId="8" applyNumberFormat="1" applyFont="1" applyFill="1" applyBorder="1" applyAlignment="1">
      <alignment horizontal="left" vertical="center"/>
    </xf>
    <xf numFmtId="2" fontId="18" fillId="3" borderId="9" xfId="8" applyNumberFormat="1" applyFont="1" applyFill="1" applyBorder="1" applyAlignment="1">
      <alignment horizontal="left" vertical="center"/>
    </xf>
    <xf numFmtId="0" fontId="9" fillId="3" borderId="15" xfId="1" applyFont="1" applyFill="1" applyBorder="1" applyAlignment="1">
      <alignment horizontal="left" vertical="center" wrapText="1"/>
    </xf>
    <xf numFmtId="0" fontId="18" fillId="3" borderId="8" xfId="8" applyFont="1" applyFill="1" applyBorder="1" applyAlignment="1">
      <alignment horizontal="center" vertical="center"/>
    </xf>
    <xf numFmtId="0" fontId="18" fillId="3" borderId="7" xfId="8" applyFont="1" applyFill="1" applyBorder="1" applyAlignment="1">
      <alignment horizontal="center" vertical="center"/>
    </xf>
    <xf numFmtId="0" fontId="18" fillId="3" borderId="15" xfId="8" applyFont="1" applyFill="1" applyBorder="1" applyAlignment="1">
      <alignment horizontal="left" vertical="center"/>
    </xf>
    <xf numFmtId="164" fontId="18" fillId="3" borderId="16" xfId="8" applyNumberFormat="1" applyFont="1" applyFill="1" applyBorder="1" applyAlignment="1">
      <alignment horizontal="center" vertical="center"/>
    </xf>
    <xf numFmtId="0" fontId="18" fillId="3" borderId="17" xfId="8" applyFont="1" applyFill="1" applyBorder="1" applyAlignment="1">
      <alignment horizontal="center" vertical="center"/>
    </xf>
    <xf numFmtId="0" fontId="18" fillId="3" borderId="23" xfId="8" applyFont="1" applyFill="1" applyBorder="1" applyAlignment="1">
      <alignment horizontal="left" vertical="center"/>
    </xf>
    <xf numFmtId="0" fontId="18" fillId="3" borderId="21" xfId="8" applyFont="1" applyFill="1" applyBorder="1" applyAlignment="1">
      <alignment horizontal="center" vertical="center"/>
    </xf>
    <xf numFmtId="164" fontId="18" fillId="3" borderId="5" xfId="8" applyNumberFormat="1" applyFont="1" applyFill="1" applyBorder="1" applyAlignment="1">
      <alignment horizontal="center" vertical="center"/>
    </xf>
    <xf numFmtId="0" fontId="18" fillId="3" borderId="30" xfId="8" applyFont="1" applyFill="1" applyBorder="1" applyAlignment="1">
      <alignment horizontal="left" vertical="center"/>
    </xf>
    <xf numFmtId="2" fontId="32" fillId="0" borderId="31" xfId="8" applyNumberFormat="1" applyFont="1" applyBorder="1" applyAlignment="1" applyProtection="1">
      <alignment horizontal="center" vertical="center"/>
      <protection locked="0"/>
    </xf>
    <xf numFmtId="2" fontId="32" fillId="0" borderId="16" xfId="8" applyNumberFormat="1" applyFont="1" applyBorder="1" applyAlignment="1" applyProtection="1">
      <alignment horizontal="center" vertical="center"/>
      <protection locked="0"/>
    </xf>
    <xf numFmtId="2" fontId="32" fillId="0" borderId="5" xfId="8" applyNumberFormat="1" applyFont="1" applyBorder="1" applyAlignment="1" applyProtection="1">
      <alignment horizontal="center" vertical="center"/>
      <protection locked="0"/>
    </xf>
    <xf numFmtId="2" fontId="32" fillId="0" borderId="7" xfId="8" applyNumberFormat="1" applyFont="1" applyBorder="1" applyAlignment="1" applyProtection="1">
      <alignment horizontal="center" vertical="center"/>
      <protection locked="0"/>
    </xf>
    <xf numFmtId="164" fontId="18" fillId="3" borderId="31" xfId="8" applyNumberFormat="1" applyFont="1" applyFill="1" applyBorder="1" applyAlignment="1">
      <alignment horizontal="center" vertical="center"/>
    </xf>
    <xf numFmtId="0" fontId="18" fillId="3" borderId="22" xfId="8" applyFont="1" applyFill="1" applyBorder="1" applyAlignment="1">
      <alignment horizontal="center" vertical="center"/>
    </xf>
    <xf numFmtId="0" fontId="18" fillId="3" borderId="9" xfId="8" applyFont="1" applyFill="1" applyBorder="1" applyAlignment="1">
      <alignment horizontal="left" vertical="center"/>
    </xf>
    <xf numFmtId="0" fontId="3" fillId="3" borderId="6" xfId="1" applyFont="1" applyFill="1" applyBorder="1" applyAlignment="1">
      <alignment horizontal="left" vertical="center" wrapText="1"/>
    </xf>
    <xf numFmtId="10" fontId="27" fillId="3" borderId="17" xfId="3" applyNumberFormat="1" applyFont="1" applyFill="1" applyBorder="1" applyAlignment="1">
      <alignment horizontal="center" vertical="center"/>
    </xf>
    <xf numFmtId="0" fontId="3" fillId="3" borderId="9" xfId="8" applyFill="1" applyBorder="1" applyAlignment="1">
      <alignment horizontal="left" vertical="center" wrapText="1"/>
    </xf>
    <xf numFmtId="2" fontId="27" fillId="3" borderId="10" xfId="0" applyNumberFormat="1" applyFont="1" applyFill="1" applyBorder="1" applyAlignment="1">
      <alignment horizontal="center" vertical="center"/>
    </xf>
    <xf numFmtId="10" fontId="27" fillId="3" borderId="22" xfId="3" applyNumberFormat="1" applyFont="1" applyFill="1" applyBorder="1" applyAlignment="1">
      <alignment horizontal="center" vertical="center"/>
    </xf>
    <xf numFmtId="2" fontId="27" fillId="3" borderId="7" xfId="0" applyNumberFormat="1" applyFont="1" applyFill="1" applyBorder="1" applyAlignment="1">
      <alignment horizontal="center" vertical="center"/>
    </xf>
    <xf numFmtId="10" fontId="27" fillId="3" borderId="21" xfId="3" applyNumberFormat="1" applyFont="1" applyFill="1" applyBorder="1" applyAlignment="1">
      <alignment horizontal="center" vertical="center"/>
    </xf>
    <xf numFmtId="0" fontId="18" fillId="3" borderId="6" xfId="8" applyFont="1" applyFill="1" applyBorder="1" applyAlignment="1">
      <alignment horizontal="left" vertical="center"/>
    </xf>
    <xf numFmtId="0" fontId="0" fillId="3" borderId="23" xfId="0" applyFill="1" applyBorder="1"/>
    <xf numFmtId="0" fontId="18" fillId="0" borderId="6" xfId="0" applyFont="1" applyBorder="1" applyAlignment="1">
      <alignment horizontal="left" vertical="center" wrapText="1"/>
    </xf>
    <xf numFmtId="167" fontId="18" fillId="0" borderId="7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3" borderId="23" xfId="8" applyFont="1" applyFill="1" applyBorder="1" applyAlignment="1">
      <alignment horizontal="left" vertical="center" wrapText="1"/>
    </xf>
    <xf numFmtId="164" fontId="27" fillId="3" borderId="5" xfId="0" applyNumberFormat="1" applyFont="1" applyFill="1" applyBorder="1" applyAlignment="1">
      <alignment horizontal="center" vertical="center"/>
    </xf>
    <xf numFmtId="168" fontId="27" fillId="3" borderId="21" xfId="3" applyNumberFormat="1" applyFont="1" applyFill="1" applyBorder="1" applyAlignment="1">
      <alignment horizontal="center" vertical="center"/>
    </xf>
    <xf numFmtId="0" fontId="3" fillId="3" borderId="6" xfId="8" applyFill="1" applyBorder="1" applyAlignment="1">
      <alignment horizontal="left" vertical="center" wrapText="1"/>
    </xf>
    <xf numFmtId="0" fontId="15" fillId="3" borderId="24" xfId="0" applyFont="1" applyFill="1" applyBorder="1" applyAlignment="1">
      <alignment horizontal="left" vertical="center"/>
    </xf>
    <xf numFmtId="0" fontId="0" fillId="3" borderId="25" xfId="0" applyFill="1" applyBorder="1"/>
    <xf numFmtId="0" fontId="0" fillId="3" borderId="26" xfId="0" applyFill="1" applyBorder="1"/>
    <xf numFmtId="0" fontId="0" fillId="3" borderId="6" xfId="0" applyFill="1" applyBorder="1"/>
    <xf numFmtId="0" fontId="0" fillId="3" borderId="9" xfId="0" applyFill="1" applyBorder="1"/>
    <xf numFmtId="9" fontId="0" fillId="3" borderId="7" xfId="3" applyFont="1" applyFill="1" applyBorder="1" applyAlignment="1">
      <alignment horizontal="center" vertical="center"/>
    </xf>
    <xf numFmtId="9" fontId="0" fillId="3" borderId="10" xfId="3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9" fontId="39" fillId="3" borderId="7" xfId="3" applyFont="1" applyFill="1" applyBorder="1" applyAlignment="1" applyProtection="1">
      <alignment horizontal="center" vertical="center"/>
      <protection locked="0"/>
    </xf>
    <xf numFmtId="9" fontId="39" fillId="3" borderId="10" xfId="3" applyFont="1" applyFill="1" applyBorder="1" applyAlignment="1" applyProtection="1">
      <alignment horizontal="center" vertical="center"/>
      <protection locked="0"/>
    </xf>
    <xf numFmtId="9" fontId="39" fillId="3" borderId="8" xfId="3" applyFont="1" applyFill="1" applyBorder="1" applyAlignment="1" applyProtection="1">
      <alignment horizontal="center" vertical="center"/>
      <protection locked="0"/>
    </xf>
    <xf numFmtId="9" fontId="39" fillId="3" borderId="11" xfId="3" applyFont="1" applyFill="1" applyBorder="1" applyAlignment="1" applyProtection="1">
      <alignment horizontal="center" vertical="center"/>
      <protection locked="0"/>
    </xf>
    <xf numFmtId="0" fontId="18" fillId="3" borderId="6" xfId="8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9" fontId="39" fillId="3" borderId="5" xfId="3" applyFont="1" applyFill="1" applyBorder="1" applyAlignment="1" applyProtection="1">
      <alignment horizontal="center" vertical="center"/>
      <protection locked="0"/>
    </xf>
    <xf numFmtId="9" fontId="0" fillId="3" borderId="5" xfId="3" applyFont="1" applyFill="1" applyBorder="1" applyAlignment="1">
      <alignment horizontal="center" vertical="center"/>
    </xf>
    <xf numFmtId="9" fontId="39" fillId="3" borderId="21" xfId="3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/>
    <xf numFmtId="0" fontId="0" fillId="3" borderId="23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left" vertical="center" wrapText="1"/>
    </xf>
    <xf numFmtId="164" fontId="17" fillId="0" borderId="0" xfId="1" applyNumberFormat="1" applyFont="1" applyAlignment="1" applyProtection="1">
      <alignment horizontal="left" vertical="center"/>
      <protection locked="0"/>
    </xf>
    <xf numFmtId="164" fontId="18" fillId="3" borderId="7" xfId="8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7" fontId="0" fillId="0" borderId="0" xfId="0" applyNumberFormat="1"/>
    <xf numFmtId="0" fontId="0" fillId="3" borderId="0" xfId="0" applyFill="1"/>
    <xf numFmtId="0" fontId="0" fillId="6" borderId="0" xfId="0" applyFill="1"/>
    <xf numFmtId="0" fontId="0" fillId="7" borderId="0" xfId="0" applyFill="1"/>
    <xf numFmtId="164" fontId="12" fillId="3" borderId="0" xfId="2" applyNumberFormat="1" applyFill="1" applyAlignment="1">
      <alignment horizontal="center"/>
    </xf>
    <xf numFmtId="167" fontId="12" fillId="3" borderId="0" xfId="2" applyNumberFormat="1" applyFill="1" applyAlignment="1">
      <alignment horizontal="right" vertical="center"/>
    </xf>
    <xf numFmtId="164" fontId="12" fillId="6" borderId="0" xfId="2" applyNumberFormat="1" applyFill="1" applyAlignment="1">
      <alignment horizontal="center"/>
    </xf>
    <xf numFmtId="164" fontId="12" fillId="7" borderId="0" xfId="2" applyNumberFormat="1" applyFill="1" applyAlignment="1">
      <alignment horizontal="center"/>
    </xf>
    <xf numFmtId="0" fontId="42" fillId="0" borderId="0" xfId="0" applyFont="1"/>
    <xf numFmtId="0" fontId="43" fillId="0" borderId="0" xfId="0" applyFont="1"/>
    <xf numFmtId="167" fontId="12" fillId="6" borderId="0" xfId="2" applyNumberFormat="1" applyFill="1" applyAlignment="1">
      <alignment horizontal="right" vertical="center"/>
    </xf>
    <xf numFmtId="167" fontId="12" fillId="7" borderId="0" xfId="2" applyNumberFormat="1" applyFill="1" applyAlignment="1">
      <alignment horizontal="right" vertical="center"/>
    </xf>
    <xf numFmtId="0" fontId="0" fillId="2" borderId="0" xfId="0" applyFill="1"/>
    <xf numFmtId="0" fontId="17" fillId="8" borderId="0" xfId="1" applyFont="1" applyFill="1" applyAlignment="1">
      <alignment horizontal="center" vertical="center" wrapText="1"/>
    </xf>
    <xf numFmtId="164" fontId="44" fillId="8" borderId="38" xfId="0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8" borderId="42" xfId="0" applyFill="1" applyBorder="1" applyAlignment="1">
      <alignment horizontal="center"/>
    </xf>
    <xf numFmtId="164" fontId="45" fillId="3" borderId="41" xfId="0" applyNumberFormat="1" applyFont="1" applyFill="1" applyBorder="1" applyAlignment="1">
      <alignment horizontal="center" vertical="center"/>
    </xf>
    <xf numFmtId="0" fontId="46" fillId="3" borderId="41" xfId="1" applyFont="1" applyFill="1" applyBorder="1" applyAlignment="1">
      <alignment horizontal="center" vertical="center" wrapText="1"/>
    </xf>
    <xf numFmtId="0" fontId="47" fillId="3" borderId="41" xfId="1" applyFont="1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0" fillId="8" borderId="47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17" fillId="9" borderId="41" xfId="1" applyFont="1" applyFill="1" applyBorder="1" applyAlignment="1">
      <alignment horizontal="center" vertical="center" wrapText="1"/>
    </xf>
    <xf numFmtId="0" fontId="47" fillId="9" borderId="41" xfId="1" applyFont="1" applyFill="1" applyBorder="1" applyAlignment="1">
      <alignment horizontal="center" vertical="center" wrapText="1"/>
    </xf>
    <xf numFmtId="0" fontId="46" fillId="9" borderId="41" xfId="1" applyFont="1" applyFill="1" applyBorder="1" applyAlignment="1">
      <alignment horizontal="center" vertical="center" wrapText="1"/>
    </xf>
    <xf numFmtId="164" fontId="27" fillId="9" borderId="41" xfId="0" applyNumberFormat="1" applyFont="1" applyFill="1" applyBorder="1" applyAlignment="1">
      <alignment horizontal="center" vertical="center"/>
    </xf>
    <xf numFmtId="164" fontId="44" fillId="9" borderId="41" xfId="0" applyNumberFormat="1" applyFont="1" applyFill="1" applyBorder="1" applyAlignment="1">
      <alignment horizontal="center" vertical="center"/>
    </xf>
    <xf numFmtId="164" fontId="45" fillId="9" borderId="41" xfId="0" applyNumberFormat="1" applyFont="1" applyFill="1" applyBorder="1" applyAlignment="1">
      <alignment horizontal="center" vertical="center"/>
    </xf>
    <xf numFmtId="0" fontId="17" fillId="9" borderId="41" xfId="1" applyFont="1" applyFill="1" applyBorder="1" applyAlignment="1">
      <alignment horizontal="center" vertical="center"/>
    </xf>
    <xf numFmtId="0" fontId="17" fillId="9" borderId="44" xfId="1" applyFont="1" applyFill="1" applyBorder="1" applyAlignment="1">
      <alignment vertical="center"/>
    </xf>
    <xf numFmtId="0" fontId="17" fillId="2" borderId="46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47" fillId="2" borderId="41" xfId="1" applyFont="1" applyFill="1" applyBorder="1" applyAlignment="1">
      <alignment horizontal="center" vertical="center" wrapText="1"/>
    </xf>
    <xf numFmtId="164" fontId="45" fillId="2" borderId="41" xfId="0" applyNumberFormat="1" applyFont="1" applyFill="1" applyBorder="1" applyAlignment="1">
      <alignment horizontal="center" vertical="center"/>
    </xf>
    <xf numFmtId="0" fontId="46" fillId="2" borderId="41" xfId="1" applyFont="1" applyFill="1" applyBorder="1" applyAlignment="1">
      <alignment horizontal="center" vertical="center" wrapText="1"/>
    </xf>
    <xf numFmtId="0" fontId="17" fillId="10" borderId="41" xfId="1" applyFont="1" applyFill="1" applyBorder="1" applyAlignment="1">
      <alignment horizontal="center" vertical="center" wrapText="1"/>
    </xf>
    <xf numFmtId="0" fontId="47" fillId="10" borderId="41" xfId="1" applyFont="1" applyFill="1" applyBorder="1" applyAlignment="1">
      <alignment horizontal="center" vertical="center" wrapText="1"/>
    </xf>
    <xf numFmtId="0" fontId="46" fillId="10" borderId="41" xfId="1" applyFont="1" applyFill="1" applyBorder="1" applyAlignment="1">
      <alignment horizontal="center" vertical="center" wrapText="1"/>
    </xf>
    <xf numFmtId="164" fontId="27" fillId="10" borderId="41" xfId="0" applyNumberFormat="1" applyFont="1" applyFill="1" applyBorder="1" applyAlignment="1">
      <alignment horizontal="center" vertical="center"/>
    </xf>
    <xf numFmtId="164" fontId="44" fillId="10" borderId="41" xfId="0" applyNumberFormat="1" applyFont="1" applyFill="1" applyBorder="1" applyAlignment="1">
      <alignment horizontal="center" vertical="center"/>
    </xf>
    <xf numFmtId="164" fontId="45" fillId="10" borderId="41" xfId="0" applyNumberFormat="1" applyFont="1" applyFill="1" applyBorder="1" applyAlignment="1">
      <alignment horizontal="center" vertical="center"/>
    </xf>
    <xf numFmtId="0" fontId="17" fillId="10" borderId="41" xfId="1" applyFont="1" applyFill="1" applyBorder="1" applyAlignment="1">
      <alignment horizontal="center" vertical="center"/>
    </xf>
    <xf numFmtId="0" fontId="2" fillId="0" borderId="0" xfId="1" applyFont="1"/>
    <xf numFmtId="2" fontId="40" fillId="0" borderId="7" xfId="1" applyNumberFormat="1" applyFont="1" applyBorder="1" applyAlignment="1" applyProtection="1">
      <alignment horizontal="center" vertical="center"/>
      <protection locked="0"/>
    </xf>
    <xf numFmtId="164" fontId="27" fillId="2" borderId="41" xfId="0" applyNumberFormat="1" applyFont="1" applyFill="1" applyBorder="1" applyAlignment="1">
      <alignment horizontal="center" vertical="center"/>
    </xf>
    <xf numFmtId="164" fontId="44" fillId="2" borderId="41" xfId="0" applyNumberFormat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10" borderId="43" xfId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164" fontId="44" fillId="3" borderId="41" xfId="0" applyNumberFormat="1" applyFont="1" applyFill="1" applyBorder="1" applyAlignment="1">
      <alignment horizontal="center" vertical="center"/>
    </xf>
    <xf numFmtId="0" fontId="47" fillId="3" borderId="43" xfId="1" applyFont="1" applyFill="1" applyBorder="1" applyAlignment="1">
      <alignment horizontal="center" vertical="center" wrapText="1"/>
    </xf>
    <xf numFmtId="0" fontId="46" fillId="3" borderId="43" xfId="1" applyFont="1" applyFill="1" applyBorder="1" applyAlignment="1">
      <alignment horizontal="center" vertical="center" wrapText="1"/>
    </xf>
    <xf numFmtId="164" fontId="48" fillId="3" borderId="41" xfId="0" applyNumberFormat="1" applyFont="1" applyFill="1" applyBorder="1" applyAlignment="1">
      <alignment horizontal="center" vertical="center"/>
    </xf>
    <xf numFmtId="164" fontId="27" fillId="3" borderId="41" xfId="0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vertical="center"/>
    </xf>
    <xf numFmtId="0" fontId="17" fillId="3" borderId="2" xfId="1" applyFont="1" applyFill="1" applyBorder="1"/>
    <xf numFmtId="0" fontId="17" fillId="3" borderId="19" xfId="1" applyFont="1" applyFill="1" applyBorder="1"/>
    <xf numFmtId="0" fontId="17" fillId="3" borderId="2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16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164" fontId="26" fillId="0" borderId="28" xfId="1" applyNumberFormat="1" applyFont="1" applyBorder="1" applyAlignment="1" applyProtection="1">
      <alignment horizontal="center" vertical="center"/>
      <protection locked="0"/>
    </xf>
    <xf numFmtId="0" fontId="17" fillId="3" borderId="18" xfId="1" applyFont="1" applyFill="1" applyBorder="1" applyAlignment="1">
      <alignment horizontal="center" vertical="center"/>
    </xf>
    <xf numFmtId="0" fontId="17" fillId="3" borderId="20" xfId="8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3" applyNumberFormat="1" applyFont="1" applyFill="1" applyProtection="1"/>
    <xf numFmtId="0" fontId="3" fillId="0" borderId="0" xfId="8" applyAlignment="1">
      <alignment horizontal="left" vertical="center"/>
    </xf>
    <xf numFmtId="0" fontId="3" fillId="0" borderId="0" xfId="8" applyAlignment="1">
      <alignment horizontal="center" vertical="center"/>
    </xf>
    <xf numFmtId="0" fontId="3" fillId="0" borderId="36" xfId="8" applyBorder="1" applyAlignment="1">
      <alignment vertical="center"/>
    </xf>
    <xf numFmtId="0" fontId="3" fillId="0" borderId="35" xfId="8" applyBorder="1" applyAlignment="1">
      <alignment vertical="center"/>
    </xf>
    <xf numFmtId="0" fontId="17" fillId="3" borderId="29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left" vertical="center"/>
    </xf>
    <xf numFmtId="0" fontId="17" fillId="3" borderId="2" xfId="1" applyFont="1" applyFill="1" applyBorder="1" applyAlignment="1">
      <alignment horizontal="left" vertical="center" wrapText="1"/>
    </xf>
    <xf numFmtId="0" fontId="18" fillId="3" borderId="16" xfId="1" applyFont="1" applyFill="1" applyBorder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7" fillId="3" borderId="29" xfId="8" applyFont="1" applyFill="1" applyBorder="1" applyAlignment="1">
      <alignment horizontal="left" vertical="center"/>
    </xf>
    <xf numFmtId="0" fontId="17" fillId="3" borderId="19" xfId="8" applyFont="1" applyFill="1" applyBorder="1" applyAlignment="1">
      <alignment horizontal="left" vertical="center"/>
    </xf>
    <xf numFmtId="0" fontId="17" fillId="3" borderId="2" xfId="8" applyFont="1" applyFill="1" applyBorder="1" applyAlignment="1">
      <alignment horizontal="left" vertical="center"/>
    </xf>
    <xf numFmtId="0" fontId="17" fillId="3" borderId="18" xfId="8" applyFont="1" applyFill="1" applyBorder="1" applyAlignment="1">
      <alignment horizontal="center" vertical="center" wrapText="1"/>
    </xf>
    <xf numFmtId="0" fontId="17" fillId="3" borderId="3" xfId="8" applyFont="1" applyFill="1" applyBorder="1" applyAlignment="1">
      <alignment horizontal="center" vertical="center" wrapText="1"/>
    </xf>
    <xf numFmtId="0" fontId="17" fillId="3" borderId="4" xfId="8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9" borderId="15" xfId="0" applyFont="1" applyFill="1" applyBorder="1" applyAlignment="1">
      <alignment horizontal="left" vertical="center" wrapText="1"/>
    </xf>
    <xf numFmtId="167" fontId="18" fillId="9" borderId="16" xfId="0" applyNumberFormat="1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vertical="center" wrapText="1"/>
    </xf>
    <xf numFmtId="167" fontId="18" fillId="9" borderId="5" xfId="0" applyNumberFormat="1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left" vertical="center" wrapText="1"/>
    </xf>
    <xf numFmtId="167" fontId="18" fillId="9" borderId="7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167" fontId="18" fillId="2" borderId="7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left" vertical="center" wrapText="1"/>
    </xf>
    <xf numFmtId="167" fontId="18" fillId="10" borderId="7" xfId="0" applyNumberFormat="1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left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/>
    </xf>
    <xf numFmtId="167" fontId="18" fillId="11" borderId="7" xfId="0" applyNumberFormat="1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left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8" fillId="11" borderId="9" xfId="29" applyFont="1" applyFill="1" applyBorder="1" applyAlignment="1">
      <alignment horizontal="left" vertical="center" wrapText="1"/>
    </xf>
    <xf numFmtId="0" fontId="18" fillId="11" borderId="10" xfId="29" applyFont="1" applyFill="1" applyBorder="1" applyAlignment="1">
      <alignment horizontal="center" vertical="center" wrapText="1"/>
    </xf>
    <xf numFmtId="0" fontId="18" fillId="11" borderId="11" xfId="29" applyFont="1" applyFill="1" applyBorder="1" applyAlignment="1">
      <alignment horizontal="center" vertical="center"/>
    </xf>
    <xf numFmtId="0" fontId="52" fillId="0" borderId="0" xfId="0" applyFont="1"/>
    <xf numFmtId="0" fontId="53" fillId="0" borderId="0" xfId="53" applyFont="1" applyFill="1" applyAlignment="1" applyProtection="1">
      <alignment horizontal="left" vertical="center"/>
    </xf>
    <xf numFmtId="0" fontId="55" fillId="3" borderId="2" xfId="1" applyFont="1" applyFill="1" applyBorder="1"/>
    <xf numFmtId="0" fontId="55" fillId="3" borderId="4" xfId="1" applyFont="1" applyFill="1" applyBorder="1"/>
    <xf numFmtId="0" fontId="55" fillId="3" borderId="15" xfId="1" applyFont="1" applyFill="1" applyBorder="1"/>
    <xf numFmtId="0" fontId="55" fillId="3" borderId="17" xfId="1" applyFont="1" applyFill="1" applyBorder="1" applyAlignment="1">
      <alignment horizontal="left" vertical="center" wrapText="1"/>
    </xf>
    <xf numFmtId="0" fontId="56" fillId="3" borderId="23" xfId="1" applyFont="1" applyFill="1" applyBorder="1"/>
    <xf numFmtId="0" fontId="56" fillId="3" borderId="21" xfId="1" applyFont="1" applyFill="1" applyBorder="1" applyAlignment="1">
      <alignment horizontal="left" vertical="center" wrapText="1"/>
    </xf>
    <xf numFmtId="0" fontId="54" fillId="3" borderId="6" xfId="0" applyFont="1" applyFill="1" applyBorder="1"/>
    <xf numFmtId="0" fontId="54" fillId="3" borderId="8" xfId="0" applyFont="1" applyFill="1" applyBorder="1"/>
    <xf numFmtId="0" fontId="54" fillId="3" borderId="9" xfId="0" applyFont="1" applyFill="1" applyBorder="1"/>
    <xf numFmtId="0" fontId="54" fillId="3" borderId="11" xfId="0" applyFont="1" applyFill="1" applyBorder="1"/>
    <xf numFmtId="0" fontId="57" fillId="3" borderId="6" xfId="0" applyFont="1" applyFill="1" applyBorder="1"/>
    <xf numFmtId="0" fontId="58" fillId="3" borderId="6" xfId="0" applyFont="1" applyFill="1" applyBorder="1"/>
    <xf numFmtId="0" fontId="59" fillId="3" borderId="6" xfId="0" applyFont="1" applyFill="1" applyBorder="1"/>
    <xf numFmtId="0" fontId="60" fillId="3" borderId="9" xfId="0" applyFont="1" applyFill="1" applyBorder="1"/>
    <xf numFmtId="0" fontId="1" fillId="0" borderId="0" xfId="1" applyFont="1"/>
    <xf numFmtId="0" fontId="1" fillId="3" borderId="6" xfId="1" applyFont="1" applyFill="1" applyBorder="1" applyAlignment="1">
      <alignment horizontal="left" vertical="center"/>
    </xf>
    <xf numFmtId="2" fontId="0" fillId="3" borderId="15" xfId="0" applyNumberFormat="1" applyFill="1" applyBorder="1" applyAlignment="1">
      <alignment horizontal="left" vertical="center"/>
    </xf>
    <xf numFmtId="2" fontId="0" fillId="3" borderId="6" xfId="0" applyNumberFormat="1" applyFill="1" applyBorder="1" applyAlignment="1">
      <alignment horizontal="left" vertical="center"/>
    </xf>
    <xf numFmtId="2" fontId="0" fillId="3" borderId="9" xfId="0" applyNumberFormat="1" applyFill="1" applyBorder="1" applyAlignment="1">
      <alignment horizontal="left" vertical="center"/>
    </xf>
    <xf numFmtId="2" fontId="0" fillId="3" borderId="16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15" fillId="3" borderId="16" xfId="0" applyNumberFormat="1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164" fontId="17" fillId="4" borderId="5" xfId="1" applyNumberFormat="1" applyFont="1" applyFill="1" applyBorder="1" applyAlignment="1">
      <alignment horizontal="center" vertical="center"/>
    </xf>
    <xf numFmtId="164" fontId="17" fillId="4" borderId="21" xfId="1" applyNumberFormat="1" applyFont="1" applyFill="1" applyBorder="1" applyAlignment="1">
      <alignment horizontal="center" vertical="center"/>
    </xf>
    <xf numFmtId="164" fontId="17" fillId="4" borderId="7" xfId="1" applyNumberFormat="1" applyFont="1" applyFill="1" applyBorder="1" applyAlignment="1">
      <alignment horizontal="center" vertical="center"/>
    </xf>
    <xf numFmtId="164" fontId="17" fillId="4" borderId="8" xfId="1" applyNumberFormat="1" applyFont="1" applyFill="1" applyBorder="1" applyAlignment="1">
      <alignment horizontal="center" vertical="center"/>
    </xf>
    <xf numFmtId="164" fontId="17" fillId="4" borderId="51" xfId="1" applyNumberFormat="1" applyFont="1" applyFill="1" applyBorder="1" applyAlignment="1">
      <alignment horizontal="center" vertical="center"/>
    </xf>
    <xf numFmtId="164" fontId="17" fillId="4" borderId="52" xfId="1" applyNumberFormat="1" applyFont="1" applyFill="1" applyBorder="1" applyAlignment="1">
      <alignment horizontal="center" vertical="center"/>
    </xf>
    <xf numFmtId="164" fontId="17" fillId="4" borderId="53" xfId="1" applyNumberFormat="1" applyFont="1" applyFill="1" applyBorder="1" applyAlignment="1">
      <alignment horizontal="center" vertical="center"/>
    </xf>
    <xf numFmtId="0" fontId="41" fillId="5" borderId="33" xfId="8" applyFont="1" applyFill="1" applyBorder="1" applyAlignment="1">
      <alignment horizontal="center"/>
    </xf>
    <xf numFmtId="0" fontId="41" fillId="5" borderId="32" xfId="8" applyFont="1" applyFill="1" applyBorder="1" applyAlignment="1">
      <alignment horizontal="center"/>
    </xf>
    <xf numFmtId="0" fontId="41" fillId="5" borderId="34" xfId="8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 vertical="center"/>
    </xf>
    <xf numFmtId="0" fontId="17" fillId="3" borderId="45" xfId="1" applyFont="1" applyFill="1" applyBorder="1" applyAlignment="1">
      <alignment horizontal="center" vertical="center"/>
    </xf>
    <xf numFmtId="0" fontId="17" fillId="3" borderId="49" xfId="1" applyFont="1" applyFill="1" applyBorder="1" applyAlignment="1">
      <alignment horizontal="center" vertical="center"/>
    </xf>
    <xf numFmtId="0" fontId="47" fillId="3" borderId="43" xfId="1" applyFont="1" applyFill="1" applyBorder="1" applyAlignment="1">
      <alignment horizontal="center" vertical="center" wrapText="1"/>
    </xf>
    <xf numFmtId="0" fontId="47" fillId="3" borderId="45" xfId="1" applyFont="1" applyFill="1" applyBorder="1" applyAlignment="1">
      <alignment horizontal="center" vertical="center" wrapText="1"/>
    </xf>
    <xf numFmtId="0" fontId="47" fillId="3" borderId="44" xfId="1" applyFont="1" applyFill="1" applyBorder="1" applyAlignment="1">
      <alignment horizontal="center" vertical="center" wrapText="1"/>
    </xf>
    <xf numFmtId="0" fontId="46" fillId="3" borderId="43" xfId="1" applyFont="1" applyFill="1" applyBorder="1" applyAlignment="1">
      <alignment horizontal="center" vertical="center" wrapText="1"/>
    </xf>
    <xf numFmtId="0" fontId="46" fillId="3" borderId="45" xfId="1" applyFont="1" applyFill="1" applyBorder="1" applyAlignment="1">
      <alignment horizontal="center" vertical="center" wrapText="1"/>
    </xf>
    <xf numFmtId="0" fontId="46" fillId="3" borderId="44" xfId="1" applyFont="1" applyFill="1" applyBorder="1" applyAlignment="1">
      <alignment horizontal="center" vertical="center" wrapText="1"/>
    </xf>
    <xf numFmtId="164" fontId="48" fillId="3" borderId="41" xfId="0" applyNumberFormat="1" applyFont="1" applyFill="1" applyBorder="1" applyAlignment="1">
      <alignment horizontal="center" vertical="center"/>
    </xf>
    <xf numFmtId="164" fontId="48" fillId="3" borderId="43" xfId="0" applyNumberFormat="1" applyFont="1" applyFill="1" applyBorder="1" applyAlignment="1">
      <alignment horizontal="center" vertical="center"/>
    </xf>
    <xf numFmtId="164" fontId="48" fillId="3" borderId="45" xfId="0" applyNumberFormat="1" applyFont="1" applyFill="1" applyBorder="1" applyAlignment="1">
      <alignment horizontal="center" vertical="center"/>
    </xf>
    <xf numFmtId="164" fontId="44" fillId="3" borderId="43" xfId="0" applyNumberFormat="1" applyFont="1" applyFill="1" applyBorder="1" applyAlignment="1">
      <alignment horizontal="center" vertical="center"/>
    </xf>
    <xf numFmtId="164" fontId="44" fillId="3" borderId="45" xfId="0" applyNumberFormat="1" applyFont="1" applyFill="1" applyBorder="1" applyAlignment="1">
      <alignment horizontal="center" vertical="center"/>
    </xf>
    <xf numFmtId="164" fontId="27" fillId="3" borderId="43" xfId="0" applyNumberFormat="1" applyFont="1" applyFill="1" applyBorder="1" applyAlignment="1">
      <alignment horizontal="center" vertical="center"/>
    </xf>
    <xf numFmtId="164" fontId="27" fillId="3" borderId="45" xfId="0" applyNumberFormat="1" applyFont="1" applyFill="1" applyBorder="1" applyAlignment="1">
      <alignment horizontal="center" vertical="center"/>
    </xf>
    <xf numFmtId="164" fontId="27" fillId="3" borderId="41" xfId="0" applyNumberFormat="1" applyFont="1" applyFill="1" applyBorder="1" applyAlignment="1">
      <alignment horizontal="center" vertical="center"/>
    </xf>
    <xf numFmtId="164" fontId="44" fillId="3" borderId="41" xfId="0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9" borderId="43" xfId="1" applyFont="1" applyFill="1" applyBorder="1" applyAlignment="1">
      <alignment horizontal="center" vertical="center"/>
    </xf>
    <xf numFmtId="0" fontId="17" fillId="9" borderId="45" xfId="1" applyFont="1" applyFill="1" applyBorder="1" applyAlignment="1">
      <alignment horizontal="center" vertical="center"/>
    </xf>
    <xf numFmtId="0" fontId="17" fillId="9" borderId="44" xfId="1" applyFont="1" applyFill="1" applyBorder="1" applyAlignment="1">
      <alignment horizontal="center" vertical="center"/>
    </xf>
    <xf numFmtId="164" fontId="27" fillId="9" borderId="43" xfId="0" applyNumberFormat="1" applyFont="1" applyFill="1" applyBorder="1" applyAlignment="1">
      <alignment horizontal="center" vertical="center"/>
    </xf>
    <xf numFmtId="164" fontId="27" fillId="9" borderId="44" xfId="0" applyNumberFormat="1" applyFont="1" applyFill="1" applyBorder="1" applyAlignment="1">
      <alignment horizontal="center" vertical="center"/>
    </xf>
    <xf numFmtId="164" fontId="44" fillId="9" borderId="43" xfId="0" applyNumberFormat="1" applyFont="1" applyFill="1" applyBorder="1" applyAlignment="1">
      <alignment horizontal="center" vertical="center"/>
    </xf>
    <xf numFmtId="164" fontId="44" fillId="9" borderId="44" xfId="0" applyNumberFormat="1" applyFont="1" applyFill="1" applyBorder="1" applyAlignment="1">
      <alignment horizontal="center" vertical="center"/>
    </xf>
    <xf numFmtId="164" fontId="45" fillId="9" borderId="43" xfId="0" applyNumberFormat="1" applyFont="1" applyFill="1" applyBorder="1" applyAlignment="1">
      <alignment horizontal="center" vertical="center"/>
    </xf>
    <xf numFmtId="164" fontId="45" fillId="9" borderId="44" xfId="0" applyNumberFormat="1" applyFont="1" applyFill="1" applyBorder="1" applyAlignment="1">
      <alignment horizontal="center" vertical="center"/>
    </xf>
    <xf numFmtId="0" fontId="17" fillId="10" borderId="43" xfId="1" applyFont="1" applyFill="1" applyBorder="1" applyAlignment="1">
      <alignment horizontal="center" vertical="center"/>
    </xf>
    <xf numFmtId="0" fontId="17" fillId="10" borderId="44" xfId="1" applyFont="1" applyFill="1" applyBorder="1" applyAlignment="1">
      <alignment horizontal="center" vertical="center"/>
    </xf>
    <xf numFmtId="0" fontId="17" fillId="10" borderId="45" xfId="1" applyFont="1" applyFill="1" applyBorder="1" applyAlignment="1">
      <alignment horizontal="center" vertical="center"/>
    </xf>
    <xf numFmtId="164" fontId="27" fillId="10" borderId="43" xfId="0" applyNumberFormat="1" applyFont="1" applyFill="1" applyBorder="1" applyAlignment="1">
      <alignment horizontal="center" vertical="center"/>
    </xf>
    <xf numFmtId="164" fontId="27" fillId="10" borderId="44" xfId="0" applyNumberFormat="1" applyFont="1" applyFill="1" applyBorder="1" applyAlignment="1">
      <alignment horizontal="center" vertical="center"/>
    </xf>
    <xf numFmtId="164" fontId="44" fillId="10" borderId="43" xfId="0" applyNumberFormat="1" applyFont="1" applyFill="1" applyBorder="1" applyAlignment="1">
      <alignment horizontal="center" vertical="center"/>
    </xf>
    <xf numFmtId="164" fontId="44" fillId="10" borderId="44" xfId="0" applyNumberFormat="1" applyFont="1" applyFill="1" applyBorder="1" applyAlignment="1">
      <alignment horizontal="center" vertical="center"/>
    </xf>
    <xf numFmtId="164" fontId="45" fillId="10" borderId="43" xfId="0" applyNumberFormat="1" applyFont="1" applyFill="1" applyBorder="1" applyAlignment="1">
      <alignment horizontal="center" vertical="center"/>
    </xf>
    <xf numFmtId="164" fontId="45" fillId="10" borderId="44" xfId="0" applyNumberFormat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17" fillId="2" borderId="45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164" fontId="27" fillId="2" borderId="43" xfId="0" applyNumberFormat="1" applyFont="1" applyFill="1" applyBorder="1" applyAlignment="1">
      <alignment horizontal="center" vertical="center"/>
    </xf>
    <xf numFmtId="164" fontId="27" fillId="2" borderId="45" xfId="0" applyNumberFormat="1" applyFont="1" applyFill="1" applyBorder="1" applyAlignment="1">
      <alignment horizontal="center" vertical="center"/>
    </xf>
    <xf numFmtId="164" fontId="44" fillId="2" borderId="43" xfId="0" applyNumberFormat="1" applyFont="1" applyFill="1" applyBorder="1" applyAlignment="1">
      <alignment horizontal="center" vertical="center"/>
    </xf>
    <xf numFmtId="164" fontId="44" fillId="2" borderId="45" xfId="0" applyNumberFormat="1" applyFont="1" applyFill="1" applyBorder="1" applyAlignment="1">
      <alignment horizontal="center" vertical="center"/>
    </xf>
    <xf numFmtId="164" fontId="48" fillId="2" borderId="43" xfId="0" applyNumberFormat="1" applyFont="1" applyFill="1" applyBorder="1" applyAlignment="1">
      <alignment horizontal="center" vertical="center"/>
    </xf>
    <xf numFmtId="164" fontId="48" fillId="2" borderId="45" xfId="0" applyNumberFormat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164" fontId="27" fillId="2" borderId="41" xfId="0" applyNumberFormat="1" applyFont="1" applyFill="1" applyBorder="1" applyAlignment="1">
      <alignment horizontal="center" vertical="center"/>
    </xf>
    <xf numFmtId="164" fontId="44" fillId="2" borderId="41" xfId="0" applyNumberFormat="1" applyFont="1" applyFill="1" applyBorder="1" applyAlignment="1">
      <alignment horizontal="center" vertical="center"/>
    </xf>
    <xf numFmtId="164" fontId="48" fillId="2" borderId="41" xfId="0" applyNumberFormat="1" applyFont="1" applyFill="1" applyBorder="1" applyAlignment="1">
      <alignment horizontal="center" vertical="center"/>
    </xf>
  </cellXfs>
  <cellStyles count="54">
    <cellStyle name="Hyperlink" xfId="53" builtinId="8"/>
    <cellStyle name="Normal" xfId="0" builtinId="0"/>
    <cellStyle name="Normal 10" xfId="21" xr:uid="{00000000-0005-0000-0000-000002000000}"/>
    <cellStyle name="Normal 10 2" xfId="33" xr:uid="{00000000-0005-0000-0000-000003000000}"/>
    <cellStyle name="Normal 10 3" xfId="35" xr:uid="{00000000-0005-0000-0000-000004000000}"/>
    <cellStyle name="Normal 11" xfId="24" xr:uid="{00000000-0005-0000-0000-000005000000}"/>
    <cellStyle name="Normal 11 2" xfId="29" xr:uid="{00000000-0005-0000-0000-000006000000}"/>
    <cellStyle name="Normal 11 2 2" xfId="36" xr:uid="{00000000-0005-0000-0000-000007000000}"/>
    <cellStyle name="Normal 12" xfId="28" xr:uid="{00000000-0005-0000-0000-000008000000}"/>
    <cellStyle name="Normal 13" xfId="32" xr:uid="{00000000-0005-0000-0000-000009000000}"/>
    <cellStyle name="Normal 14" xfId="34" xr:uid="{00000000-0005-0000-0000-00000A000000}"/>
    <cellStyle name="Normal 2" xfId="2" xr:uid="{00000000-0005-0000-0000-00000B000000}"/>
    <cellStyle name="Normál 2" xfId="16" xr:uid="{00000000-0005-0000-0000-00000C000000}"/>
    <cellStyle name="Normal 2 10" xfId="6" xr:uid="{00000000-0005-0000-0000-00000D000000}"/>
    <cellStyle name="Normal 2 11" xfId="42" xr:uid="{00000000-0005-0000-0000-00000E000000}"/>
    <cellStyle name="Normal 2 12" xfId="44" xr:uid="{00000000-0005-0000-0000-00000F000000}"/>
    <cellStyle name="Normal 2 13" xfId="46" xr:uid="{00000000-0005-0000-0000-000010000000}"/>
    <cellStyle name="Normal 2 14" xfId="43" xr:uid="{00000000-0005-0000-0000-000011000000}"/>
    <cellStyle name="Normal 2 15" xfId="48" xr:uid="{00000000-0005-0000-0000-000012000000}"/>
    <cellStyle name="Normal 2 16" xfId="4" xr:uid="{00000000-0005-0000-0000-000013000000}"/>
    <cellStyle name="Normal 2 17" xfId="45" xr:uid="{00000000-0005-0000-0000-000014000000}"/>
    <cellStyle name="Normal 2 18" xfId="50" xr:uid="{00000000-0005-0000-0000-000015000000}"/>
    <cellStyle name="Normal 2 19" xfId="49" xr:uid="{00000000-0005-0000-0000-000016000000}"/>
    <cellStyle name="Normal 2 2" xfId="11" xr:uid="{00000000-0005-0000-0000-000017000000}"/>
    <cellStyle name="Normal 2 20" xfId="47" xr:uid="{00000000-0005-0000-0000-000018000000}"/>
    <cellStyle name="Normal 2 21" xfId="51" xr:uid="{00000000-0005-0000-0000-000019000000}"/>
    <cellStyle name="Normal 2 22" xfId="52" xr:uid="{00000000-0005-0000-0000-00001A000000}"/>
    <cellStyle name="Normal 2 3" xfId="27" xr:uid="{00000000-0005-0000-0000-00001B000000}"/>
    <cellStyle name="Normal 2 4" xfId="9" xr:uid="{00000000-0005-0000-0000-00001C000000}"/>
    <cellStyle name="Normal 2 5" xfId="10" xr:uid="{00000000-0005-0000-0000-00001D000000}"/>
    <cellStyle name="Normal 2 6" xfId="18" xr:uid="{00000000-0005-0000-0000-00001E000000}"/>
    <cellStyle name="Normal 2 7" xfId="40" xr:uid="{00000000-0005-0000-0000-00001F000000}"/>
    <cellStyle name="Normal 2 8" xfId="39" xr:uid="{00000000-0005-0000-0000-000020000000}"/>
    <cellStyle name="Normal 2 9" xfId="41" xr:uid="{00000000-0005-0000-0000-000021000000}"/>
    <cellStyle name="Normal 3" xfId="1" xr:uid="{00000000-0005-0000-0000-000022000000}"/>
    <cellStyle name="Normal 3 2" xfId="8" xr:uid="{00000000-0005-0000-0000-000023000000}"/>
    <cellStyle name="Normal 3 3" xfId="22" xr:uid="{00000000-0005-0000-0000-000024000000}"/>
    <cellStyle name="Normal 3 4" xfId="25" xr:uid="{00000000-0005-0000-0000-000025000000}"/>
    <cellStyle name="Normal 3 5" xfId="30" xr:uid="{00000000-0005-0000-0000-000026000000}"/>
    <cellStyle name="Normal 3 5 2" xfId="37" xr:uid="{00000000-0005-0000-0000-000027000000}"/>
    <cellStyle name="Normal 3 6" xfId="5" xr:uid="{00000000-0005-0000-0000-000028000000}"/>
    <cellStyle name="Normal 4" xfId="7" xr:uid="{00000000-0005-0000-0000-000029000000}"/>
    <cellStyle name="Normal 4 2" xfId="13" xr:uid="{00000000-0005-0000-0000-00002A000000}"/>
    <cellStyle name="Normal 4 3" xfId="19" xr:uid="{00000000-0005-0000-0000-00002B000000}"/>
    <cellStyle name="Normal 4 4" xfId="23" xr:uid="{00000000-0005-0000-0000-00002C000000}"/>
    <cellStyle name="Normal 4 5" xfId="26" xr:uid="{00000000-0005-0000-0000-00002D000000}"/>
    <cellStyle name="Normal 4 6" xfId="31" xr:uid="{00000000-0005-0000-0000-00002E000000}"/>
    <cellStyle name="Normal 4 6 2" xfId="38" xr:uid="{00000000-0005-0000-0000-00002F000000}"/>
    <cellStyle name="Normal 5" xfId="12" xr:uid="{00000000-0005-0000-0000-000030000000}"/>
    <cellStyle name="Normal 6" xfId="14" xr:uid="{00000000-0005-0000-0000-000031000000}"/>
    <cellStyle name="Normal 7" xfId="15" xr:uid="{00000000-0005-0000-0000-000032000000}"/>
    <cellStyle name="Normal 8" xfId="17" xr:uid="{00000000-0005-0000-0000-000033000000}"/>
    <cellStyle name="Normal 9" xfId="20" xr:uid="{00000000-0005-0000-0000-000034000000}"/>
    <cellStyle name="Percent" xfId="3" builtinId="5"/>
  </cellStyles>
  <dxfs count="13"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'Diurnal flow'!$B$8</c:f>
              <c:strCache>
                <c:ptCount val="1"/>
                <c:pt idx="0">
                  <c:v>small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'Diurnal flow'!$A$10:$A$33</c:f>
              <c:numCache>
                <c:formatCode>0.0000</c:formatCode>
                <c:ptCount val="24"/>
                <c:pt idx="0">
                  <c:v>0</c:v>
                </c:pt>
                <c:pt idx="1">
                  <c:v>4.1666666999999998E-2</c:v>
                </c:pt>
                <c:pt idx="2">
                  <c:v>8.3333332999999996E-2</c:v>
                </c:pt>
                <c:pt idx="3">
                  <c:v>0.125</c:v>
                </c:pt>
                <c:pt idx="4">
                  <c:v>0.16666666699999999</c:v>
                </c:pt>
                <c:pt idx="5">
                  <c:v>0.20833333300000001</c:v>
                </c:pt>
                <c:pt idx="6">
                  <c:v>0.25</c:v>
                </c:pt>
                <c:pt idx="7">
                  <c:v>0.29166666699999999</c:v>
                </c:pt>
                <c:pt idx="8">
                  <c:v>0.33333333300000001</c:v>
                </c:pt>
                <c:pt idx="9">
                  <c:v>0.375</c:v>
                </c:pt>
                <c:pt idx="10">
                  <c:v>0.41666666699999999</c:v>
                </c:pt>
                <c:pt idx="11">
                  <c:v>0.45833333300000001</c:v>
                </c:pt>
                <c:pt idx="12">
                  <c:v>0.5</c:v>
                </c:pt>
                <c:pt idx="13">
                  <c:v>0.54166666699999999</c:v>
                </c:pt>
                <c:pt idx="14">
                  <c:v>0.58333333300000001</c:v>
                </c:pt>
                <c:pt idx="15">
                  <c:v>0.625</c:v>
                </c:pt>
                <c:pt idx="16">
                  <c:v>0.66666666699999999</c:v>
                </c:pt>
                <c:pt idx="17">
                  <c:v>0.70833333300000001</c:v>
                </c:pt>
                <c:pt idx="18">
                  <c:v>0.75</c:v>
                </c:pt>
                <c:pt idx="19">
                  <c:v>0.79166666699999999</c:v>
                </c:pt>
                <c:pt idx="20">
                  <c:v>0.83333333300000001</c:v>
                </c:pt>
                <c:pt idx="21">
                  <c:v>0.875</c:v>
                </c:pt>
                <c:pt idx="22">
                  <c:v>0.91666666699999999</c:v>
                </c:pt>
                <c:pt idx="23">
                  <c:v>0.95833333300000001</c:v>
                </c:pt>
              </c:numCache>
            </c:numRef>
          </c:xVal>
          <c:yVal>
            <c:numRef>
              <c:f>'Diurnal flow'!$B$10:$B$33</c:f>
              <c:numCache>
                <c:formatCode>0.0000</c:formatCode>
                <c:ptCount val="24"/>
                <c:pt idx="0">
                  <c:v>0.92370848053769694</c:v>
                </c:pt>
                <c:pt idx="1">
                  <c:v>0.79842741753157853</c:v>
                </c:pt>
                <c:pt idx="2">
                  <c:v>0.67606828055988355</c:v>
                </c:pt>
                <c:pt idx="3">
                  <c:v>0.58386775266027691</c:v>
                </c:pt>
                <c:pt idx="4">
                  <c:v>0.54484137120169696</c:v>
                </c:pt>
                <c:pt idx="5">
                  <c:v>0.57173167120325918</c:v>
                </c:pt>
                <c:pt idx="6">
                  <c:v>0.66343808388767789</c:v>
                </c:pt>
                <c:pt idx="7">
                  <c:v>0.80489581033830182</c:v>
                </c:pt>
                <c:pt idx="8">
                  <c:v>0.97046447723580986</c:v>
                </c:pt>
                <c:pt idx="9">
                  <c:v>1.129962743485216</c:v>
                </c:pt>
                <c:pt idx="10">
                  <c:v>1.255788842063815</c:v>
                </c:pt>
                <c:pt idx="11">
                  <c:v>1.3292849806740759</c:v>
                </c:pt>
                <c:pt idx="12">
                  <c:v>1.3447105581983232</c:v>
                </c:pt>
                <c:pt idx="13">
                  <c:v>1.309829505464472</c:v>
                </c:pt>
                <c:pt idx="14">
                  <c:v>1.2430191716043275</c:v>
                </c:pt>
                <c:pt idx="15">
                  <c:v>1.1677306805222387</c:v>
                </c:pt>
                <c:pt idx="16">
                  <c:v>1.105827042226494</c:v>
                </c:pt>
                <c:pt idx="17">
                  <c:v>1.0716098389832069</c:v>
                </c:pt>
                <c:pt idx="18">
                  <c:v>1.0681428773763031</c:v>
                </c:pt>
                <c:pt idx="19">
                  <c:v>1.0868472666656483</c:v>
                </c:pt>
                <c:pt idx="20">
                  <c:v>1.11044807059998</c:v>
                </c:pt>
                <c:pt idx="21">
                  <c:v>1.1184388233322677</c:v>
                </c:pt>
                <c:pt idx="22">
                  <c:v>1.0935427445079926</c:v>
                </c:pt>
                <c:pt idx="23">
                  <c:v>1.0273735091394558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4-4A61-A25E-1F2BA18F5D45}"/>
            </c:ext>
          </c:extLst>
        </c:ser>
        <c:ser>
          <c:idx val="1"/>
          <c:order val="1"/>
          <c:tx>
            <c:strRef>
              <c:f>'Diurnal flow'!$C$8</c:f>
              <c:strCache>
                <c:ptCount val="1"/>
                <c:pt idx="0">
                  <c:v>medium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'Diurnal flow'!$A$10:$A$33</c:f>
              <c:numCache>
                <c:formatCode>0.0000</c:formatCode>
                <c:ptCount val="24"/>
                <c:pt idx="0">
                  <c:v>0</c:v>
                </c:pt>
                <c:pt idx="1">
                  <c:v>4.1666666999999998E-2</c:v>
                </c:pt>
                <c:pt idx="2">
                  <c:v>8.3333332999999996E-2</c:v>
                </c:pt>
                <c:pt idx="3">
                  <c:v>0.125</c:v>
                </c:pt>
                <c:pt idx="4">
                  <c:v>0.16666666699999999</c:v>
                </c:pt>
                <c:pt idx="5">
                  <c:v>0.20833333300000001</c:v>
                </c:pt>
                <c:pt idx="6">
                  <c:v>0.25</c:v>
                </c:pt>
                <c:pt idx="7">
                  <c:v>0.29166666699999999</c:v>
                </c:pt>
                <c:pt idx="8">
                  <c:v>0.33333333300000001</c:v>
                </c:pt>
                <c:pt idx="9">
                  <c:v>0.375</c:v>
                </c:pt>
                <c:pt idx="10">
                  <c:v>0.41666666699999999</c:v>
                </c:pt>
                <c:pt idx="11">
                  <c:v>0.45833333300000001</c:v>
                </c:pt>
                <c:pt idx="12">
                  <c:v>0.5</c:v>
                </c:pt>
                <c:pt idx="13">
                  <c:v>0.54166666699999999</c:v>
                </c:pt>
                <c:pt idx="14">
                  <c:v>0.58333333300000001</c:v>
                </c:pt>
                <c:pt idx="15">
                  <c:v>0.625</c:v>
                </c:pt>
                <c:pt idx="16">
                  <c:v>0.66666666699999999</c:v>
                </c:pt>
                <c:pt idx="17">
                  <c:v>0.70833333300000001</c:v>
                </c:pt>
                <c:pt idx="18">
                  <c:v>0.75</c:v>
                </c:pt>
                <c:pt idx="19">
                  <c:v>0.79166666699999999</c:v>
                </c:pt>
                <c:pt idx="20">
                  <c:v>0.83333333300000001</c:v>
                </c:pt>
                <c:pt idx="21">
                  <c:v>0.875</c:v>
                </c:pt>
                <c:pt idx="22">
                  <c:v>0.91666666699999999</c:v>
                </c:pt>
                <c:pt idx="23">
                  <c:v>0.95833333300000001</c:v>
                </c:pt>
              </c:numCache>
            </c:numRef>
          </c:xVal>
          <c:yVal>
            <c:numRef>
              <c:f>'Diurnal flow'!$C$10:$C$33</c:f>
              <c:numCache>
                <c:formatCode>0.0000</c:formatCode>
                <c:ptCount val="24"/>
                <c:pt idx="0">
                  <c:v>0.96185424026884847</c:v>
                </c:pt>
                <c:pt idx="1">
                  <c:v>0.89921370876578921</c:v>
                </c:pt>
                <c:pt idx="2">
                  <c:v>0.83803414027994183</c:v>
                </c:pt>
                <c:pt idx="3">
                  <c:v>0.79193387633013845</c:v>
                </c:pt>
                <c:pt idx="4">
                  <c:v>0.77242068560084842</c:v>
                </c:pt>
                <c:pt idx="5">
                  <c:v>0.78586583560162959</c:v>
                </c:pt>
                <c:pt idx="6">
                  <c:v>0.83171904194383894</c:v>
                </c:pt>
                <c:pt idx="7">
                  <c:v>0.90244790516915097</c:v>
                </c:pt>
                <c:pt idx="8">
                  <c:v>0.98523223861790488</c:v>
                </c:pt>
                <c:pt idx="9">
                  <c:v>1.064981371742608</c:v>
                </c:pt>
                <c:pt idx="10">
                  <c:v>1.1278944210319075</c:v>
                </c:pt>
                <c:pt idx="11">
                  <c:v>1.1646424903370378</c:v>
                </c:pt>
                <c:pt idx="12">
                  <c:v>1.1723552790991616</c:v>
                </c:pt>
                <c:pt idx="13">
                  <c:v>1.1549147527322359</c:v>
                </c:pt>
                <c:pt idx="14">
                  <c:v>1.1215095858021638</c:v>
                </c:pt>
                <c:pt idx="15">
                  <c:v>1.0838653402611194</c:v>
                </c:pt>
                <c:pt idx="16">
                  <c:v>1.052913521113247</c:v>
                </c:pt>
                <c:pt idx="17">
                  <c:v>1.0358049194916035</c:v>
                </c:pt>
                <c:pt idx="18">
                  <c:v>1.0340714386881515</c:v>
                </c:pt>
                <c:pt idx="19">
                  <c:v>1.0434236333328242</c:v>
                </c:pt>
                <c:pt idx="20">
                  <c:v>1.05522403529999</c:v>
                </c:pt>
                <c:pt idx="21">
                  <c:v>1.0592194116661338</c:v>
                </c:pt>
                <c:pt idx="22">
                  <c:v>1.0467713722539962</c:v>
                </c:pt>
                <c:pt idx="23">
                  <c:v>1.0136867545697279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4-4A61-A25E-1F2BA18F5D45}"/>
            </c:ext>
          </c:extLst>
        </c:ser>
        <c:ser>
          <c:idx val="2"/>
          <c:order val="2"/>
          <c:tx>
            <c:strRef>
              <c:f>'Diurnal flow'!$D$8</c:f>
              <c:strCache>
                <c:ptCount val="1"/>
                <c:pt idx="0">
                  <c:v>large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'Diurnal flow'!$A$10:$A$33</c:f>
              <c:numCache>
                <c:formatCode>0.0000</c:formatCode>
                <c:ptCount val="24"/>
                <c:pt idx="0">
                  <c:v>0</c:v>
                </c:pt>
                <c:pt idx="1">
                  <c:v>4.1666666999999998E-2</c:v>
                </c:pt>
                <c:pt idx="2">
                  <c:v>8.3333332999999996E-2</c:v>
                </c:pt>
                <c:pt idx="3">
                  <c:v>0.125</c:v>
                </c:pt>
                <c:pt idx="4">
                  <c:v>0.16666666699999999</c:v>
                </c:pt>
                <c:pt idx="5">
                  <c:v>0.20833333300000001</c:v>
                </c:pt>
                <c:pt idx="6">
                  <c:v>0.25</c:v>
                </c:pt>
                <c:pt idx="7">
                  <c:v>0.29166666699999999</c:v>
                </c:pt>
                <c:pt idx="8">
                  <c:v>0.33333333300000001</c:v>
                </c:pt>
                <c:pt idx="9">
                  <c:v>0.375</c:v>
                </c:pt>
                <c:pt idx="10">
                  <c:v>0.41666666699999999</c:v>
                </c:pt>
                <c:pt idx="11">
                  <c:v>0.45833333300000001</c:v>
                </c:pt>
                <c:pt idx="12">
                  <c:v>0.5</c:v>
                </c:pt>
                <c:pt idx="13">
                  <c:v>0.54166666699999999</c:v>
                </c:pt>
                <c:pt idx="14">
                  <c:v>0.58333333300000001</c:v>
                </c:pt>
                <c:pt idx="15">
                  <c:v>0.625</c:v>
                </c:pt>
                <c:pt idx="16">
                  <c:v>0.66666666699999999</c:v>
                </c:pt>
                <c:pt idx="17">
                  <c:v>0.70833333300000001</c:v>
                </c:pt>
                <c:pt idx="18">
                  <c:v>0.75</c:v>
                </c:pt>
                <c:pt idx="19">
                  <c:v>0.79166666699999999</c:v>
                </c:pt>
                <c:pt idx="20">
                  <c:v>0.83333333300000001</c:v>
                </c:pt>
                <c:pt idx="21">
                  <c:v>0.875</c:v>
                </c:pt>
                <c:pt idx="22">
                  <c:v>0.91666666699999999</c:v>
                </c:pt>
                <c:pt idx="23">
                  <c:v>0.95833333300000001</c:v>
                </c:pt>
              </c:numCache>
            </c:numRef>
          </c:xVal>
          <c:yVal>
            <c:numRef>
              <c:f>'Diurnal flow'!$D$10:$D$33</c:f>
              <c:numCache>
                <c:formatCode>0.0000</c:formatCode>
                <c:ptCount val="24"/>
                <c:pt idx="0">
                  <c:v>0.98092712013442429</c:v>
                </c:pt>
                <c:pt idx="1">
                  <c:v>0.94960685438289461</c:v>
                </c:pt>
                <c:pt idx="2">
                  <c:v>0.91901707013997092</c:v>
                </c:pt>
                <c:pt idx="3">
                  <c:v>0.89596693816506923</c:v>
                </c:pt>
                <c:pt idx="4">
                  <c:v>0.88621034280042421</c:v>
                </c:pt>
                <c:pt idx="5">
                  <c:v>0.89293291780081474</c:v>
                </c:pt>
                <c:pt idx="6">
                  <c:v>0.91585952097191947</c:v>
                </c:pt>
                <c:pt idx="7">
                  <c:v>0.95122395258457548</c:v>
                </c:pt>
                <c:pt idx="8">
                  <c:v>0.99261611930895244</c:v>
                </c:pt>
                <c:pt idx="9">
                  <c:v>1.0324906858713039</c:v>
                </c:pt>
                <c:pt idx="10">
                  <c:v>1.0639472105159538</c:v>
                </c:pt>
                <c:pt idx="11">
                  <c:v>1.0823212451685189</c:v>
                </c:pt>
                <c:pt idx="12">
                  <c:v>1.0861776395495808</c:v>
                </c:pt>
                <c:pt idx="13">
                  <c:v>1.0774573763661179</c:v>
                </c:pt>
                <c:pt idx="14">
                  <c:v>1.0607547929010819</c:v>
                </c:pt>
                <c:pt idx="15">
                  <c:v>1.0419326701305596</c:v>
                </c:pt>
                <c:pt idx="16">
                  <c:v>1.0264567605566235</c:v>
                </c:pt>
                <c:pt idx="17">
                  <c:v>1.0179024597458017</c:v>
                </c:pt>
                <c:pt idx="18">
                  <c:v>1.0170357193440758</c:v>
                </c:pt>
                <c:pt idx="19">
                  <c:v>1.0217118166664121</c:v>
                </c:pt>
                <c:pt idx="20">
                  <c:v>1.027612017649995</c:v>
                </c:pt>
                <c:pt idx="21">
                  <c:v>1.0296097058330669</c:v>
                </c:pt>
                <c:pt idx="22">
                  <c:v>1.0233856861269981</c:v>
                </c:pt>
                <c:pt idx="23">
                  <c:v>1.0068433772848639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A4-4A61-A25E-1F2BA18F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144904"/>
        <c:axId val="545145296"/>
      </c:scatterChart>
      <c:valAx>
        <c:axId val="5451449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45296"/>
        <c:crosses val="autoZero"/>
        <c:crossBetween val="midCat"/>
      </c:valAx>
      <c:valAx>
        <c:axId val="54514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44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'Birthday Cake'!$D$5:$D$6</c:f>
              <c:strCache>
                <c:ptCount val="2"/>
                <c:pt idx="0">
                  <c:v>Q</c:v>
                </c:pt>
                <c:pt idx="1">
                  <c:v>m3/d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'Birthday Cake'!$C$7:$C$390</c:f>
              <c:numCache>
                <c:formatCode>0.0</c:formatCode>
                <c:ptCount val="38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</c:numCache>
            </c:numRef>
          </c:xVal>
          <c:yVal>
            <c:numRef>
              <c:f>'Birthday Cake'!$D$7:$D$390</c:f>
              <c:numCache>
                <c:formatCode>0.000</c:formatCode>
                <c:ptCount val="384"/>
                <c:pt idx="0">
                  <c:v>131716.31966241612</c:v>
                </c:pt>
                <c:pt idx="1">
                  <c:v>123138.32527838717</c:v>
                </c:pt>
                <c:pt idx="2">
                  <c:v>114760.39516993523</c:v>
                </c:pt>
                <c:pt idx="3">
                  <c:v>108447.42502464916</c:v>
                </c:pt>
                <c:pt idx="4">
                  <c:v>105775.28868618018</c:v>
                </c:pt>
                <c:pt idx="5">
                  <c:v>107616.46752728715</c:v>
                </c:pt>
                <c:pt idx="6">
                  <c:v>113895.6056037893</c:v>
                </c:pt>
                <c:pt idx="7">
                  <c:v>123581.21613386353</c:v>
                </c:pt>
                <c:pt idx="8">
                  <c:v>134917.7027563359</c:v>
                </c:pt>
                <c:pt idx="9">
                  <c:v>145838.54904643274</c:v>
                </c:pt>
                <c:pt idx="10">
                  <c:v>154453.8620161094</c:v>
                </c:pt>
                <c:pt idx="11">
                  <c:v>159486.14262675395</c:v>
                </c:pt>
                <c:pt idx="12">
                  <c:v>160542.3319198392</c:v>
                </c:pt>
                <c:pt idx="13">
                  <c:v>158154.02623915239</c:v>
                </c:pt>
                <c:pt idx="14">
                  <c:v>153579.5226797483</c:v>
                </c:pt>
                <c:pt idx="15">
                  <c:v>148424.51969535768</c:v>
                </c:pt>
                <c:pt idx="16">
                  <c:v>144185.97758124804</c:v>
                </c:pt>
                <c:pt idx="17">
                  <c:v>141843.12567518017</c:v>
                </c:pt>
                <c:pt idx="18">
                  <c:v>141605.74281395547</c:v>
                </c:pt>
                <c:pt idx="19">
                  <c:v>142886.43234859695</c:v>
                </c:pt>
                <c:pt idx="20">
                  <c:v>144502.37939398063</c:v>
                </c:pt>
                <c:pt idx="21">
                  <c:v>145049.50623356036</c:v>
                </c:pt>
                <c:pt idx="22">
                  <c:v>143344.87171646225</c:v>
                </c:pt>
                <c:pt idx="23">
                  <c:v>138814.26417077854</c:v>
                </c:pt>
                <c:pt idx="24">
                  <c:v>131716.31966241612</c:v>
                </c:pt>
                <c:pt idx="25">
                  <c:v>123138.32527838717</c:v>
                </c:pt>
                <c:pt idx="26">
                  <c:v>114760.39516993523</c:v>
                </c:pt>
                <c:pt idx="27">
                  <c:v>108447.42502464916</c:v>
                </c:pt>
                <c:pt idx="28">
                  <c:v>105775.28868618018</c:v>
                </c:pt>
                <c:pt idx="29">
                  <c:v>107616.46752728715</c:v>
                </c:pt>
                <c:pt idx="30">
                  <c:v>113895.6056037893</c:v>
                </c:pt>
                <c:pt idx="31">
                  <c:v>123581.21613386353</c:v>
                </c:pt>
                <c:pt idx="32">
                  <c:v>134917.7027563359</c:v>
                </c:pt>
                <c:pt idx="33">
                  <c:v>145838.54904643274</c:v>
                </c:pt>
                <c:pt idx="34">
                  <c:v>154453.8620161094</c:v>
                </c:pt>
                <c:pt idx="35">
                  <c:v>159486.14262675395</c:v>
                </c:pt>
                <c:pt idx="36">
                  <c:v>160542.3319198392</c:v>
                </c:pt>
                <c:pt idx="37">
                  <c:v>158154.02623915239</c:v>
                </c:pt>
                <c:pt idx="38">
                  <c:v>153579.5226797483</c:v>
                </c:pt>
                <c:pt idx="39">
                  <c:v>148424.51969535768</c:v>
                </c:pt>
                <c:pt idx="40">
                  <c:v>144185.97758124804</c:v>
                </c:pt>
                <c:pt idx="41">
                  <c:v>141843.12567518017</c:v>
                </c:pt>
                <c:pt idx="42">
                  <c:v>141605.74281395547</c:v>
                </c:pt>
                <c:pt idx="43">
                  <c:v>142886.43234859695</c:v>
                </c:pt>
                <c:pt idx="44">
                  <c:v>144502.37939398063</c:v>
                </c:pt>
                <c:pt idx="45">
                  <c:v>145049.50623356036</c:v>
                </c:pt>
                <c:pt idx="46">
                  <c:v>143344.87171646225</c:v>
                </c:pt>
                <c:pt idx="47">
                  <c:v>138814.26417077854</c:v>
                </c:pt>
                <c:pt idx="48">
                  <c:v>131716.31966241612</c:v>
                </c:pt>
                <c:pt idx="49">
                  <c:v>123138.32527838717</c:v>
                </c:pt>
                <c:pt idx="50">
                  <c:v>114760.39516993523</c:v>
                </c:pt>
                <c:pt idx="51">
                  <c:v>108447.42502464916</c:v>
                </c:pt>
                <c:pt idx="52">
                  <c:v>105775.28868618018</c:v>
                </c:pt>
                <c:pt idx="53">
                  <c:v>107616.46752728715</c:v>
                </c:pt>
                <c:pt idx="54">
                  <c:v>113895.6056037893</c:v>
                </c:pt>
                <c:pt idx="55">
                  <c:v>123581.21613386353</c:v>
                </c:pt>
                <c:pt idx="56">
                  <c:v>134917.7027563359</c:v>
                </c:pt>
                <c:pt idx="57">
                  <c:v>145838.54904643274</c:v>
                </c:pt>
                <c:pt idx="58">
                  <c:v>154453.8620161094</c:v>
                </c:pt>
                <c:pt idx="59">
                  <c:v>159486.14262675395</c:v>
                </c:pt>
                <c:pt idx="60">
                  <c:v>160542.3319198392</c:v>
                </c:pt>
                <c:pt idx="61">
                  <c:v>158154.02623915239</c:v>
                </c:pt>
                <c:pt idx="62">
                  <c:v>153579.5226797483</c:v>
                </c:pt>
                <c:pt idx="63">
                  <c:v>148424.51969535768</c:v>
                </c:pt>
                <c:pt idx="64">
                  <c:v>144185.97758124804</c:v>
                </c:pt>
                <c:pt idx="65">
                  <c:v>141843.12567518017</c:v>
                </c:pt>
                <c:pt idx="66">
                  <c:v>141605.74281395547</c:v>
                </c:pt>
                <c:pt idx="67">
                  <c:v>142886.43234859695</c:v>
                </c:pt>
                <c:pt idx="68">
                  <c:v>144502.37939398063</c:v>
                </c:pt>
                <c:pt idx="69">
                  <c:v>145049.50623356036</c:v>
                </c:pt>
                <c:pt idx="70">
                  <c:v>143344.87171646225</c:v>
                </c:pt>
                <c:pt idx="71">
                  <c:v>138814.26417077854</c:v>
                </c:pt>
                <c:pt idx="72">
                  <c:v>263432.63932483224</c:v>
                </c:pt>
                <c:pt idx="73">
                  <c:v>246276.65055677434</c:v>
                </c:pt>
                <c:pt idx="74">
                  <c:v>229520.79033987047</c:v>
                </c:pt>
                <c:pt idx="75">
                  <c:v>216894.85004929831</c:v>
                </c:pt>
                <c:pt idx="76">
                  <c:v>211550.57737236036</c:v>
                </c:pt>
                <c:pt idx="77">
                  <c:v>215232.93505457431</c:v>
                </c:pt>
                <c:pt idx="78">
                  <c:v>227791.2112075786</c:v>
                </c:pt>
                <c:pt idx="79">
                  <c:v>247162.43226772707</c:v>
                </c:pt>
                <c:pt idx="80">
                  <c:v>269835.4055126718</c:v>
                </c:pt>
                <c:pt idx="81">
                  <c:v>291677.09809286549</c:v>
                </c:pt>
                <c:pt idx="82">
                  <c:v>308907.7240322188</c:v>
                </c:pt>
                <c:pt idx="83">
                  <c:v>318972.2852535079</c:v>
                </c:pt>
                <c:pt idx="84">
                  <c:v>321084.6638396784</c:v>
                </c:pt>
                <c:pt idx="85">
                  <c:v>316308.05247830477</c:v>
                </c:pt>
                <c:pt idx="86">
                  <c:v>307159.04535949661</c:v>
                </c:pt>
                <c:pt idx="87">
                  <c:v>296849.03939071536</c:v>
                </c:pt>
                <c:pt idx="88">
                  <c:v>288371.95516249607</c:v>
                </c:pt>
                <c:pt idx="89">
                  <c:v>283686.25135036034</c:v>
                </c:pt>
                <c:pt idx="90">
                  <c:v>283211.48562791094</c:v>
                </c:pt>
                <c:pt idx="91">
                  <c:v>285772.8646971939</c:v>
                </c:pt>
                <c:pt idx="92">
                  <c:v>289004.75878796127</c:v>
                </c:pt>
                <c:pt idx="93">
                  <c:v>290099.01246712072</c:v>
                </c:pt>
                <c:pt idx="94">
                  <c:v>286689.7434329245</c:v>
                </c:pt>
                <c:pt idx="95">
                  <c:v>277628.52834155707</c:v>
                </c:pt>
                <c:pt idx="96">
                  <c:v>263432.63932483224</c:v>
                </c:pt>
                <c:pt idx="97">
                  <c:v>246276.65055677434</c:v>
                </c:pt>
                <c:pt idx="98">
                  <c:v>229520.79033987047</c:v>
                </c:pt>
                <c:pt idx="99">
                  <c:v>216894.85004929831</c:v>
                </c:pt>
                <c:pt idx="100">
                  <c:v>211550.57737236036</c:v>
                </c:pt>
                <c:pt idx="101">
                  <c:v>215232.93505457431</c:v>
                </c:pt>
                <c:pt idx="102">
                  <c:v>227791.2112075786</c:v>
                </c:pt>
                <c:pt idx="103">
                  <c:v>247162.43226772707</c:v>
                </c:pt>
                <c:pt idx="104">
                  <c:v>269835.4055126718</c:v>
                </c:pt>
                <c:pt idx="105">
                  <c:v>291677.09809286549</c:v>
                </c:pt>
                <c:pt idx="106">
                  <c:v>308907.7240322188</c:v>
                </c:pt>
                <c:pt idx="107">
                  <c:v>318972.2852535079</c:v>
                </c:pt>
                <c:pt idx="108">
                  <c:v>321084.6638396784</c:v>
                </c:pt>
                <c:pt idx="109">
                  <c:v>316308.05247830477</c:v>
                </c:pt>
                <c:pt idx="110">
                  <c:v>307159.04535949661</c:v>
                </c:pt>
                <c:pt idx="111">
                  <c:v>296849.03939071536</c:v>
                </c:pt>
                <c:pt idx="112">
                  <c:v>288371.95516249607</c:v>
                </c:pt>
                <c:pt idx="113">
                  <c:v>283686.25135036034</c:v>
                </c:pt>
                <c:pt idx="114">
                  <c:v>283211.48562791094</c:v>
                </c:pt>
                <c:pt idx="115">
                  <c:v>285772.8646971939</c:v>
                </c:pt>
                <c:pt idx="116">
                  <c:v>289004.75878796127</c:v>
                </c:pt>
                <c:pt idx="117">
                  <c:v>290099.01246712072</c:v>
                </c:pt>
                <c:pt idx="118">
                  <c:v>286689.7434329245</c:v>
                </c:pt>
                <c:pt idx="119">
                  <c:v>277628.52834155707</c:v>
                </c:pt>
                <c:pt idx="120">
                  <c:v>263432.63932483224</c:v>
                </c:pt>
                <c:pt idx="121">
                  <c:v>246276.65055677434</c:v>
                </c:pt>
                <c:pt idx="122">
                  <c:v>229520.79033987047</c:v>
                </c:pt>
                <c:pt idx="123">
                  <c:v>216894.85004929831</c:v>
                </c:pt>
                <c:pt idx="124">
                  <c:v>211550.57737236036</c:v>
                </c:pt>
                <c:pt idx="125">
                  <c:v>215232.93505457431</c:v>
                </c:pt>
                <c:pt idx="126">
                  <c:v>227791.2112075786</c:v>
                </c:pt>
                <c:pt idx="127">
                  <c:v>247162.43226772707</c:v>
                </c:pt>
                <c:pt idx="128">
                  <c:v>269835.4055126718</c:v>
                </c:pt>
                <c:pt idx="129">
                  <c:v>291677.09809286549</c:v>
                </c:pt>
                <c:pt idx="130">
                  <c:v>308907.7240322188</c:v>
                </c:pt>
                <c:pt idx="131">
                  <c:v>318972.2852535079</c:v>
                </c:pt>
                <c:pt idx="132">
                  <c:v>321084.6638396784</c:v>
                </c:pt>
                <c:pt idx="133">
                  <c:v>316308.05247830477</c:v>
                </c:pt>
                <c:pt idx="134">
                  <c:v>307159.04535949661</c:v>
                </c:pt>
                <c:pt idx="135">
                  <c:v>296849.03939071536</c:v>
                </c:pt>
                <c:pt idx="136">
                  <c:v>288371.95516249607</c:v>
                </c:pt>
                <c:pt idx="137">
                  <c:v>283686.25135036034</c:v>
                </c:pt>
                <c:pt idx="138">
                  <c:v>283211.48562791094</c:v>
                </c:pt>
                <c:pt idx="139">
                  <c:v>285772.8646971939</c:v>
                </c:pt>
                <c:pt idx="140">
                  <c:v>289004.75878796127</c:v>
                </c:pt>
                <c:pt idx="141">
                  <c:v>290099.01246712072</c:v>
                </c:pt>
                <c:pt idx="142">
                  <c:v>286689.7434329245</c:v>
                </c:pt>
                <c:pt idx="143">
                  <c:v>277628.52834155707</c:v>
                </c:pt>
                <c:pt idx="144">
                  <c:v>263432.63932483224</c:v>
                </c:pt>
                <c:pt idx="145">
                  <c:v>246276.65055677434</c:v>
                </c:pt>
                <c:pt idx="146">
                  <c:v>229520.79033987047</c:v>
                </c:pt>
                <c:pt idx="147">
                  <c:v>216894.85004929831</c:v>
                </c:pt>
                <c:pt idx="148">
                  <c:v>211550.57737236036</c:v>
                </c:pt>
                <c:pt idx="149">
                  <c:v>215232.93505457431</c:v>
                </c:pt>
                <c:pt idx="150">
                  <c:v>227791.2112075786</c:v>
                </c:pt>
                <c:pt idx="151">
                  <c:v>247162.43226772707</c:v>
                </c:pt>
                <c:pt idx="152">
                  <c:v>269835.4055126718</c:v>
                </c:pt>
                <c:pt idx="153">
                  <c:v>291677.09809286549</c:v>
                </c:pt>
                <c:pt idx="154">
                  <c:v>308907.7240322188</c:v>
                </c:pt>
                <c:pt idx="155">
                  <c:v>318972.2852535079</c:v>
                </c:pt>
                <c:pt idx="156">
                  <c:v>321084.6638396784</c:v>
                </c:pt>
                <c:pt idx="157">
                  <c:v>316308.05247830477</c:v>
                </c:pt>
                <c:pt idx="158">
                  <c:v>307159.04535949661</c:v>
                </c:pt>
                <c:pt idx="159">
                  <c:v>296849.03939071536</c:v>
                </c:pt>
                <c:pt idx="160">
                  <c:v>288371.95516249607</c:v>
                </c:pt>
                <c:pt idx="161">
                  <c:v>283686.25135036034</c:v>
                </c:pt>
                <c:pt idx="162">
                  <c:v>283211.48562791094</c:v>
                </c:pt>
                <c:pt idx="163">
                  <c:v>285772.8646971939</c:v>
                </c:pt>
                <c:pt idx="164">
                  <c:v>289004.75878796127</c:v>
                </c:pt>
                <c:pt idx="165">
                  <c:v>290099.01246712072</c:v>
                </c:pt>
                <c:pt idx="166">
                  <c:v>286689.7434329245</c:v>
                </c:pt>
                <c:pt idx="167">
                  <c:v>277628.52834155707</c:v>
                </c:pt>
                <c:pt idx="168">
                  <c:v>526865.27864966448</c:v>
                </c:pt>
                <c:pt idx="169">
                  <c:v>492553.30111354869</c:v>
                </c:pt>
                <c:pt idx="170">
                  <c:v>459041.58067974093</c:v>
                </c:pt>
                <c:pt idx="171">
                  <c:v>433789.70009859663</c:v>
                </c:pt>
                <c:pt idx="172">
                  <c:v>423101.15474472073</c:v>
                </c:pt>
                <c:pt idx="173">
                  <c:v>430465.87010914861</c:v>
                </c:pt>
                <c:pt idx="174">
                  <c:v>455582.4224151572</c:v>
                </c:pt>
                <c:pt idx="175">
                  <c:v>494324.86453545414</c:v>
                </c:pt>
                <c:pt idx="176">
                  <c:v>539670.8110253436</c:v>
                </c:pt>
                <c:pt idx="177">
                  <c:v>583354.19618573098</c:v>
                </c:pt>
                <c:pt idx="178">
                  <c:v>617815.4480644376</c:v>
                </c:pt>
                <c:pt idx="179">
                  <c:v>637944.5705070158</c:v>
                </c:pt>
                <c:pt idx="180">
                  <c:v>642169.32767935679</c:v>
                </c:pt>
                <c:pt idx="181">
                  <c:v>632616.10495660955</c:v>
                </c:pt>
                <c:pt idx="182">
                  <c:v>614318.09071899322</c:v>
                </c:pt>
                <c:pt idx="183">
                  <c:v>593698.07878143073</c:v>
                </c:pt>
                <c:pt idx="184">
                  <c:v>576743.91032499215</c:v>
                </c:pt>
                <c:pt idx="185">
                  <c:v>567372.50270072068</c:v>
                </c:pt>
                <c:pt idx="186">
                  <c:v>566422.97125582187</c:v>
                </c:pt>
                <c:pt idx="187">
                  <c:v>571545.7293943878</c:v>
                </c:pt>
                <c:pt idx="188">
                  <c:v>578009.51757592254</c:v>
                </c:pt>
                <c:pt idx="189">
                  <c:v>580198.02493424143</c:v>
                </c:pt>
                <c:pt idx="190">
                  <c:v>573379.486865849</c:v>
                </c:pt>
                <c:pt idx="191">
                  <c:v>555257.05668311415</c:v>
                </c:pt>
                <c:pt idx="192">
                  <c:v>263432.63932483224</c:v>
                </c:pt>
                <c:pt idx="193">
                  <c:v>246276.65055677434</c:v>
                </c:pt>
                <c:pt idx="194">
                  <c:v>229520.79033987047</c:v>
                </c:pt>
                <c:pt idx="195">
                  <c:v>216894.85004929831</c:v>
                </c:pt>
                <c:pt idx="196">
                  <c:v>211550.57737236036</c:v>
                </c:pt>
                <c:pt idx="197">
                  <c:v>215232.93505457431</c:v>
                </c:pt>
                <c:pt idx="198">
                  <c:v>227791.2112075786</c:v>
                </c:pt>
                <c:pt idx="199">
                  <c:v>247162.43226772707</c:v>
                </c:pt>
                <c:pt idx="200">
                  <c:v>269835.4055126718</c:v>
                </c:pt>
                <c:pt idx="201">
                  <c:v>291677.09809286549</c:v>
                </c:pt>
                <c:pt idx="202">
                  <c:v>308907.7240322188</c:v>
                </c:pt>
                <c:pt idx="203">
                  <c:v>318972.2852535079</c:v>
                </c:pt>
                <c:pt idx="204">
                  <c:v>321084.6638396784</c:v>
                </c:pt>
                <c:pt idx="205">
                  <c:v>316308.05247830477</c:v>
                </c:pt>
                <c:pt idx="206">
                  <c:v>307159.04535949661</c:v>
                </c:pt>
                <c:pt idx="207">
                  <c:v>296849.03939071536</c:v>
                </c:pt>
                <c:pt idx="208">
                  <c:v>288371.95516249607</c:v>
                </c:pt>
                <c:pt idx="209">
                  <c:v>283686.25135036034</c:v>
                </c:pt>
                <c:pt idx="210">
                  <c:v>283211.48562791094</c:v>
                </c:pt>
                <c:pt idx="211">
                  <c:v>285772.8646971939</c:v>
                </c:pt>
                <c:pt idx="212">
                  <c:v>289004.75878796127</c:v>
                </c:pt>
                <c:pt idx="213">
                  <c:v>290099.01246712072</c:v>
                </c:pt>
                <c:pt idx="214">
                  <c:v>286689.7434329245</c:v>
                </c:pt>
                <c:pt idx="215">
                  <c:v>277628.52834155707</c:v>
                </c:pt>
                <c:pt idx="216">
                  <c:v>263432.63932483224</c:v>
                </c:pt>
                <c:pt idx="217">
                  <c:v>246276.65055677434</c:v>
                </c:pt>
                <c:pt idx="218">
                  <c:v>229520.79033987047</c:v>
                </c:pt>
                <c:pt idx="219">
                  <c:v>216894.85004929831</c:v>
                </c:pt>
                <c:pt idx="220">
                  <c:v>211550.57737236036</c:v>
                </c:pt>
                <c:pt idx="221">
                  <c:v>215232.93505457431</c:v>
                </c:pt>
                <c:pt idx="222">
                  <c:v>227791.2112075786</c:v>
                </c:pt>
                <c:pt idx="223">
                  <c:v>247162.43226772707</c:v>
                </c:pt>
                <c:pt idx="224">
                  <c:v>269835.4055126718</c:v>
                </c:pt>
                <c:pt idx="225">
                  <c:v>291677.09809286549</c:v>
                </c:pt>
                <c:pt idx="226">
                  <c:v>308907.7240322188</c:v>
                </c:pt>
                <c:pt idx="227">
                  <c:v>318972.2852535079</c:v>
                </c:pt>
                <c:pt idx="228">
                  <c:v>321084.6638396784</c:v>
                </c:pt>
                <c:pt idx="229">
                  <c:v>316308.05247830477</c:v>
                </c:pt>
                <c:pt idx="230">
                  <c:v>307159.04535949661</c:v>
                </c:pt>
                <c:pt idx="231">
                  <c:v>296849.03939071536</c:v>
                </c:pt>
                <c:pt idx="232">
                  <c:v>288371.95516249607</c:v>
                </c:pt>
                <c:pt idx="233">
                  <c:v>283686.25135036034</c:v>
                </c:pt>
                <c:pt idx="234">
                  <c:v>283211.48562791094</c:v>
                </c:pt>
                <c:pt idx="235">
                  <c:v>285772.8646971939</c:v>
                </c:pt>
                <c:pt idx="236">
                  <c:v>289004.75878796127</c:v>
                </c:pt>
                <c:pt idx="237">
                  <c:v>290099.01246712072</c:v>
                </c:pt>
                <c:pt idx="238">
                  <c:v>286689.7434329245</c:v>
                </c:pt>
                <c:pt idx="239">
                  <c:v>277628.52834155707</c:v>
                </c:pt>
                <c:pt idx="240">
                  <c:v>263432.63932483224</c:v>
                </c:pt>
                <c:pt idx="241">
                  <c:v>246276.65055677434</c:v>
                </c:pt>
                <c:pt idx="242">
                  <c:v>229520.79033987047</c:v>
                </c:pt>
                <c:pt idx="243">
                  <c:v>216894.85004929831</c:v>
                </c:pt>
                <c:pt idx="244">
                  <c:v>211550.57737236036</c:v>
                </c:pt>
                <c:pt idx="245">
                  <c:v>215232.93505457431</c:v>
                </c:pt>
                <c:pt idx="246">
                  <c:v>227791.2112075786</c:v>
                </c:pt>
                <c:pt idx="247">
                  <c:v>247162.43226772707</c:v>
                </c:pt>
                <c:pt idx="248">
                  <c:v>269835.4055126718</c:v>
                </c:pt>
                <c:pt idx="249">
                  <c:v>291677.09809286549</c:v>
                </c:pt>
                <c:pt idx="250">
                  <c:v>308907.7240322188</c:v>
                </c:pt>
                <c:pt idx="251">
                  <c:v>318972.2852535079</c:v>
                </c:pt>
                <c:pt idx="252">
                  <c:v>321084.6638396784</c:v>
                </c:pt>
                <c:pt idx="253">
                  <c:v>316308.05247830477</c:v>
                </c:pt>
                <c:pt idx="254">
                  <c:v>307159.04535949661</c:v>
                </c:pt>
                <c:pt idx="255">
                  <c:v>296849.03939071536</c:v>
                </c:pt>
                <c:pt idx="256">
                  <c:v>288371.95516249607</c:v>
                </c:pt>
                <c:pt idx="257">
                  <c:v>283686.25135036034</c:v>
                </c:pt>
                <c:pt idx="258">
                  <c:v>283211.48562791094</c:v>
                </c:pt>
                <c:pt idx="259">
                  <c:v>285772.8646971939</c:v>
                </c:pt>
                <c:pt idx="260">
                  <c:v>289004.75878796127</c:v>
                </c:pt>
                <c:pt idx="261">
                  <c:v>290099.01246712072</c:v>
                </c:pt>
                <c:pt idx="262">
                  <c:v>286689.7434329245</c:v>
                </c:pt>
                <c:pt idx="263">
                  <c:v>277628.52834155707</c:v>
                </c:pt>
                <c:pt idx="264">
                  <c:v>263432.63932483224</c:v>
                </c:pt>
                <c:pt idx="265">
                  <c:v>246276.65055677434</c:v>
                </c:pt>
                <c:pt idx="266">
                  <c:v>229520.79033987047</c:v>
                </c:pt>
                <c:pt idx="267">
                  <c:v>216894.85004929831</c:v>
                </c:pt>
                <c:pt idx="268">
                  <c:v>211550.57737236036</c:v>
                </c:pt>
                <c:pt idx="269">
                  <c:v>215232.93505457431</c:v>
                </c:pt>
                <c:pt idx="270">
                  <c:v>227791.2112075786</c:v>
                </c:pt>
                <c:pt idx="271">
                  <c:v>247162.43226772707</c:v>
                </c:pt>
                <c:pt idx="272">
                  <c:v>269835.4055126718</c:v>
                </c:pt>
                <c:pt idx="273">
                  <c:v>291677.09809286549</c:v>
                </c:pt>
                <c:pt idx="274">
                  <c:v>308907.7240322188</c:v>
                </c:pt>
                <c:pt idx="275">
                  <c:v>318972.2852535079</c:v>
                </c:pt>
                <c:pt idx="276">
                  <c:v>321084.6638396784</c:v>
                </c:pt>
                <c:pt idx="277">
                  <c:v>316308.05247830477</c:v>
                </c:pt>
                <c:pt idx="278">
                  <c:v>307159.04535949661</c:v>
                </c:pt>
                <c:pt idx="279">
                  <c:v>296849.03939071536</c:v>
                </c:pt>
                <c:pt idx="280">
                  <c:v>288371.95516249607</c:v>
                </c:pt>
                <c:pt idx="281">
                  <c:v>283686.25135036034</c:v>
                </c:pt>
                <c:pt idx="282">
                  <c:v>283211.48562791094</c:v>
                </c:pt>
                <c:pt idx="283">
                  <c:v>285772.8646971939</c:v>
                </c:pt>
                <c:pt idx="284">
                  <c:v>289004.75878796127</c:v>
                </c:pt>
                <c:pt idx="285">
                  <c:v>290099.01246712072</c:v>
                </c:pt>
                <c:pt idx="286">
                  <c:v>286689.7434329245</c:v>
                </c:pt>
                <c:pt idx="287">
                  <c:v>277628.52834155707</c:v>
                </c:pt>
                <c:pt idx="288">
                  <c:v>263432.63932483224</c:v>
                </c:pt>
                <c:pt idx="289">
                  <c:v>246276.65055677434</c:v>
                </c:pt>
                <c:pt idx="290">
                  <c:v>229520.79033987047</c:v>
                </c:pt>
                <c:pt idx="291">
                  <c:v>216894.85004929831</c:v>
                </c:pt>
                <c:pt idx="292">
                  <c:v>211550.57737236036</c:v>
                </c:pt>
                <c:pt idx="293">
                  <c:v>215232.93505457431</c:v>
                </c:pt>
                <c:pt idx="294">
                  <c:v>227791.2112075786</c:v>
                </c:pt>
                <c:pt idx="295">
                  <c:v>247162.43226772707</c:v>
                </c:pt>
                <c:pt idx="296">
                  <c:v>269835.4055126718</c:v>
                </c:pt>
                <c:pt idx="297">
                  <c:v>291677.09809286549</c:v>
                </c:pt>
                <c:pt idx="298">
                  <c:v>308907.7240322188</c:v>
                </c:pt>
                <c:pt idx="299">
                  <c:v>318972.2852535079</c:v>
                </c:pt>
                <c:pt idx="300">
                  <c:v>321084.6638396784</c:v>
                </c:pt>
                <c:pt idx="301">
                  <c:v>316308.05247830477</c:v>
                </c:pt>
                <c:pt idx="302">
                  <c:v>307159.04535949661</c:v>
                </c:pt>
                <c:pt idx="303">
                  <c:v>296849.03939071536</c:v>
                </c:pt>
                <c:pt idx="304">
                  <c:v>288371.95516249607</c:v>
                </c:pt>
                <c:pt idx="305">
                  <c:v>283686.25135036034</c:v>
                </c:pt>
                <c:pt idx="306">
                  <c:v>283211.48562791094</c:v>
                </c:pt>
                <c:pt idx="307">
                  <c:v>285772.8646971939</c:v>
                </c:pt>
                <c:pt idx="308">
                  <c:v>289004.75878796127</c:v>
                </c:pt>
                <c:pt idx="309">
                  <c:v>290099.01246712072</c:v>
                </c:pt>
                <c:pt idx="310">
                  <c:v>286689.7434329245</c:v>
                </c:pt>
                <c:pt idx="311">
                  <c:v>277628.52834155707</c:v>
                </c:pt>
                <c:pt idx="312">
                  <c:v>131716.31966241612</c:v>
                </c:pt>
                <c:pt idx="313">
                  <c:v>123138.32527838717</c:v>
                </c:pt>
                <c:pt idx="314">
                  <c:v>114760.39516993523</c:v>
                </c:pt>
                <c:pt idx="315">
                  <c:v>108447.42502464916</c:v>
                </c:pt>
                <c:pt idx="316">
                  <c:v>105775.28868618018</c:v>
                </c:pt>
                <c:pt idx="317">
                  <c:v>107616.46752728715</c:v>
                </c:pt>
                <c:pt idx="318">
                  <c:v>113895.6056037893</c:v>
                </c:pt>
                <c:pt idx="319">
                  <c:v>123581.21613386353</c:v>
                </c:pt>
                <c:pt idx="320">
                  <c:v>134917.7027563359</c:v>
                </c:pt>
                <c:pt idx="321">
                  <c:v>145838.54904643274</c:v>
                </c:pt>
                <c:pt idx="322">
                  <c:v>154453.8620161094</c:v>
                </c:pt>
                <c:pt idx="323">
                  <c:v>159486.14262675395</c:v>
                </c:pt>
                <c:pt idx="324">
                  <c:v>160542.3319198392</c:v>
                </c:pt>
                <c:pt idx="325">
                  <c:v>158154.02623915239</c:v>
                </c:pt>
                <c:pt idx="326">
                  <c:v>153579.5226797483</c:v>
                </c:pt>
                <c:pt idx="327">
                  <c:v>148424.51969535768</c:v>
                </c:pt>
                <c:pt idx="328">
                  <c:v>144185.97758124804</c:v>
                </c:pt>
                <c:pt idx="329">
                  <c:v>141843.12567518017</c:v>
                </c:pt>
                <c:pt idx="330">
                  <c:v>141605.74281395547</c:v>
                </c:pt>
                <c:pt idx="331">
                  <c:v>142886.43234859695</c:v>
                </c:pt>
                <c:pt idx="332">
                  <c:v>144502.37939398063</c:v>
                </c:pt>
                <c:pt idx="333">
                  <c:v>145049.50623356036</c:v>
                </c:pt>
                <c:pt idx="334">
                  <c:v>143344.87171646225</c:v>
                </c:pt>
                <c:pt idx="335">
                  <c:v>138814.26417077854</c:v>
                </c:pt>
                <c:pt idx="336">
                  <c:v>131716.31966241612</c:v>
                </c:pt>
                <c:pt idx="337">
                  <c:v>123138.32527838717</c:v>
                </c:pt>
                <c:pt idx="338">
                  <c:v>114760.39516993523</c:v>
                </c:pt>
                <c:pt idx="339">
                  <c:v>108447.42502464916</c:v>
                </c:pt>
                <c:pt idx="340">
                  <c:v>105775.28868618018</c:v>
                </c:pt>
                <c:pt idx="341">
                  <c:v>107616.46752728715</c:v>
                </c:pt>
                <c:pt idx="342">
                  <c:v>113895.6056037893</c:v>
                </c:pt>
                <c:pt idx="343">
                  <c:v>123581.21613386353</c:v>
                </c:pt>
                <c:pt idx="344">
                  <c:v>134917.7027563359</c:v>
                </c:pt>
                <c:pt idx="345">
                  <c:v>145838.54904643274</c:v>
                </c:pt>
                <c:pt idx="346">
                  <c:v>154453.8620161094</c:v>
                </c:pt>
                <c:pt idx="347">
                  <c:v>159486.14262675395</c:v>
                </c:pt>
                <c:pt idx="348">
                  <c:v>160542.3319198392</c:v>
                </c:pt>
                <c:pt idx="349">
                  <c:v>158154.02623915239</c:v>
                </c:pt>
                <c:pt idx="350">
                  <c:v>153579.5226797483</c:v>
                </c:pt>
                <c:pt idx="351">
                  <c:v>148424.51969535768</c:v>
                </c:pt>
                <c:pt idx="352">
                  <c:v>144185.97758124804</c:v>
                </c:pt>
                <c:pt idx="353">
                  <c:v>141843.12567518017</c:v>
                </c:pt>
                <c:pt idx="354">
                  <c:v>141605.74281395547</c:v>
                </c:pt>
                <c:pt idx="355">
                  <c:v>142886.43234859695</c:v>
                </c:pt>
                <c:pt idx="356">
                  <c:v>144502.37939398063</c:v>
                </c:pt>
                <c:pt idx="357">
                  <c:v>145049.50623356036</c:v>
                </c:pt>
                <c:pt idx="358">
                  <c:v>143344.87171646225</c:v>
                </c:pt>
                <c:pt idx="359">
                  <c:v>138814.26417077854</c:v>
                </c:pt>
                <c:pt idx="360">
                  <c:v>131716.31966241612</c:v>
                </c:pt>
                <c:pt idx="361">
                  <c:v>123138.32527838717</c:v>
                </c:pt>
                <c:pt idx="362">
                  <c:v>114760.39516993523</c:v>
                </c:pt>
                <c:pt idx="363">
                  <c:v>108447.42502464916</c:v>
                </c:pt>
                <c:pt idx="364">
                  <c:v>105775.28868618018</c:v>
                </c:pt>
                <c:pt idx="365">
                  <c:v>107616.46752728715</c:v>
                </c:pt>
                <c:pt idx="366">
                  <c:v>113895.6056037893</c:v>
                </c:pt>
                <c:pt idx="367">
                  <c:v>123581.21613386353</c:v>
                </c:pt>
                <c:pt idx="368">
                  <c:v>134917.7027563359</c:v>
                </c:pt>
                <c:pt idx="369">
                  <c:v>145838.54904643274</c:v>
                </c:pt>
                <c:pt idx="370">
                  <c:v>154453.8620161094</c:v>
                </c:pt>
                <c:pt idx="371">
                  <c:v>159486.14262675395</c:v>
                </c:pt>
                <c:pt idx="372">
                  <c:v>160542.3319198392</c:v>
                </c:pt>
                <c:pt idx="373">
                  <c:v>158154.02623915239</c:v>
                </c:pt>
                <c:pt idx="374">
                  <c:v>153579.5226797483</c:v>
                </c:pt>
                <c:pt idx="375">
                  <c:v>148424.51969535768</c:v>
                </c:pt>
                <c:pt idx="376">
                  <c:v>144185.97758124804</c:v>
                </c:pt>
                <c:pt idx="377">
                  <c:v>141843.12567518017</c:v>
                </c:pt>
                <c:pt idx="378">
                  <c:v>141605.74281395547</c:v>
                </c:pt>
                <c:pt idx="379">
                  <c:v>142886.43234859695</c:v>
                </c:pt>
                <c:pt idx="380">
                  <c:v>144502.37939398063</c:v>
                </c:pt>
                <c:pt idx="381">
                  <c:v>145049.50623356036</c:v>
                </c:pt>
                <c:pt idx="382">
                  <c:v>143344.87171646225</c:v>
                </c:pt>
                <c:pt idx="383">
                  <c:v>138814.26417077854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E0-4C9E-8E23-28C120434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897903"/>
        <c:axId val="544463695"/>
      </c:scatterChart>
      <c:valAx>
        <c:axId val="386897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463695"/>
        <c:crosses val="autoZero"/>
        <c:crossBetween val="midCat"/>
      </c:valAx>
      <c:valAx>
        <c:axId val="54446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97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3598886</xdr:colOff>
      <xdr:row>28</xdr:row>
      <xdr:rowOff>154308</xdr:rowOff>
    </xdr:to>
    <xdr:pic>
      <xdr:nvPicPr>
        <xdr:cNvPr id="3" name="Copyrigh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276850"/>
          <a:ext cx="4941911" cy="1554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261937</xdr:colOff>
      <xdr:row>9</xdr:row>
      <xdr:rowOff>134538</xdr:rowOff>
    </xdr:from>
    <xdr:to>
      <xdr:col>25</xdr:col>
      <xdr:colOff>547687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27381</xdr:colOff>
      <xdr:row>24</xdr:row>
      <xdr:rowOff>133348</xdr:rowOff>
    </xdr:from>
    <xdr:to>
      <xdr:col>28</xdr:col>
      <xdr:colOff>154779</xdr:colOff>
      <xdr:row>52</xdr:row>
      <xdr:rowOff>173832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A57B51-2B47-4F0D-B091-B9ACB1426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ynamita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0"/>
  <sheetViews>
    <sheetView showGridLines="0" showRowColHeaders="0" zoomScaleNormal="100" workbookViewId="0"/>
  </sheetViews>
  <sheetFormatPr defaultColWidth="9.140625" defaultRowHeight="15.75" x14ac:dyDescent="0.25"/>
  <cols>
    <col min="1" max="1" width="4" style="385" customWidth="1"/>
    <col min="2" max="2" width="20.140625" style="385" bestFit="1" customWidth="1"/>
    <col min="3" max="3" width="128.42578125" style="385" bestFit="1" customWidth="1"/>
    <col min="4" max="16384" width="9.140625" style="385"/>
  </cols>
  <sheetData>
    <row r="1" spans="2:3" ht="16.5" thickBot="1" x14ac:dyDescent="0.3"/>
    <row r="2" spans="2:3" ht="19.5" thickBot="1" x14ac:dyDescent="0.35">
      <c r="B2" s="387" t="s">
        <v>90</v>
      </c>
      <c r="C2" s="388" t="s">
        <v>309</v>
      </c>
    </row>
    <row r="3" spans="2:3" ht="16.5" thickBot="1" x14ac:dyDescent="0.3"/>
    <row r="4" spans="2:3" ht="18.75" x14ac:dyDescent="0.3">
      <c r="B4" s="389" t="s">
        <v>63</v>
      </c>
      <c r="C4" s="390" t="s">
        <v>64</v>
      </c>
    </row>
    <row r="5" spans="2:3" ht="18.75" x14ac:dyDescent="0.3">
      <c r="B5" s="391" t="s">
        <v>174</v>
      </c>
      <c r="C5" s="392" t="s">
        <v>175</v>
      </c>
    </row>
    <row r="6" spans="2:3" ht="18.75" x14ac:dyDescent="0.3">
      <c r="B6" s="393" t="s">
        <v>62</v>
      </c>
      <c r="C6" s="394" t="s">
        <v>91</v>
      </c>
    </row>
    <row r="7" spans="2:3" ht="18.75" x14ac:dyDescent="0.3">
      <c r="B7" s="393" t="s">
        <v>117</v>
      </c>
      <c r="C7" s="394" t="s">
        <v>83</v>
      </c>
    </row>
    <row r="8" spans="2:3" ht="18.75" x14ac:dyDescent="0.3">
      <c r="B8" s="393" t="s">
        <v>171</v>
      </c>
      <c r="C8" s="394" t="s">
        <v>84</v>
      </c>
    </row>
    <row r="9" spans="2:3" ht="18.75" x14ac:dyDescent="0.3">
      <c r="B9" s="393" t="s">
        <v>66</v>
      </c>
      <c r="C9" s="394" t="s">
        <v>229</v>
      </c>
    </row>
    <row r="10" spans="2:3" ht="18.75" x14ac:dyDescent="0.3">
      <c r="B10" s="393" t="s">
        <v>147</v>
      </c>
      <c r="C10" s="394" t="s">
        <v>65</v>
      </c>
    </row>
    <row r="11" spans="2:3" ht="19.5" thickBot="1" x14ac:dyDescent="0.35">
      <c r="B11" s="395" t="s">
        <v>172</v>
      </c>
      <c r="C11" s="396" t="s">
        <v>173</v>
      </c>
    </row>
    <row r="12" spans="2:3" ht="16.5" thickBot="1" x14ac:dyDescent="0.3"/>
    <row r="13" spans="2:3" ht="18.75" x14ac:dyDescent="0.3">
      <c r="B13" s="389" t="s">
        <v>85</v>
      </c>
      <c r="C13" s="390" t="s">
        <v>86</v>
      </c>
    </row>
    <row r="14" spans="2:3" ht="18.75" x14ac:dyDescent="0.3">
      <c r="B14" s="397" t="s">
        <v>67</v>
      </c>
      <c r="C14" s="394" t="s">
        <v>69</v>
      </c>
    </row>
    <row r="15" spans="2:3" ht="18.75" x14ac:dyDescent="0.3">
      <c r="B15" s="398" t="s">
        <v>68</v>
      </c>
      <c r="C15" s="394" t="s">
        <v>88</v>
      </c>
    </row>
    <row r="16" spans="2:3" ht="18.75" x14ac:dyDescent="0.3">
      <c r="B16" s="399" t="s">
        <v>87</v>
      </c>
      <c r="C16" s="394" t="s">
        <v>89</v>
      </c>
    </row>
    <row r="17" spans="2:3" ht="19.5" thickBot="1" x14ac:dyDescent="0.35">
      <c r="B17" s="400" t="s">
        <v>138</v>
      </c>
      <c r="C17" s="396" t="s">
        <v>139</v>
      </c>
    </row>
    <row r="18" spans="2:3" ht="16.5" thickBot="1" x14ac:dyDescent="0.3"/>
    <row r="19" spans="2:3" ht="19.5" thickBot="1" x14ac:dyDescent="0.35">
      <c r="B19" s="387" t="s">
        <v>125</v>
      </c>
      <c r="C19" s="388" t="s">
        <v>415</v>
      </c>
    </row>
    <row r="30" spans="2:3" x14ac:dyDescent="0.25">
      <c r="B30" s="386" t="s">
        <v>418</v>
      </c>
    </row>
  </sheetData>
  <sheetProtection selectLockedCells="1" selectUnlockedCells="1"/>
  <hyperlinks>
    <hyperlink ref="B30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1"/>
  <sheetViews>
    <sheetView showGridLines="0" zoomScaleNormal="100" workbookViewId="0">
      <selection activeCell="C16" sqref="C16"/>
    </sheetView>
  </sheetViews>
  <sheetFormatPr defaultColWidth="9.140625" defaultRowHeight="15" x14ac:dyDescent="0.25"/>
  <cols>
    <col min="1" max="1" width="4.7109375" style="53" customWidth="1"/>
    <col min="2" max="2" width="31" style="53" customWidth="1"/>
    <col min="3" max="3" width="16.140625" style="53" customWidth="1"/>
    <col min="4" max="4" width="13.85546875" style="53" customWidth="1"/>
    <col min="5" max="5" width="9.140625" style="53"/>
    <col min="6" max="6" width="38.5703125" style="52" customWidth="1"/>
    <col min="7" max="7" width="11.5703125" style="52" bestFit="1" customWidth="1"/>
    <col min="8" max="8" width="17.28515625" style="52" customWidth="1"/>
    <col min="9" max="9" width="18.140625" style="52" customWidth="1"/>
    <col min="10" max="11" width="9.140625" style="53"/>
    <col min="12" max="12" width="13.42578125" style="53" bestFit="1" customWidth="1"/>
    <col min="13" max="13" width="59.5703125" style="53" customWidth="1"/>
    <col min="14" max="14" width="21.140625" style="53" customWidth="1"/>
    <col min="15" max="16384" width="9.140625" style="53"/>
  </cols>
  <sheetData>
    <row r="1" spans="2:9" ht="15.75" thickBot="1" x14ac:dyDescent="0.3"/>
    <row r="2" spans="2:9" ht="18.75" customHeight="1" thickBot="1" x14ac:dyDescent="0.3">
      <c r="B2" s="319" t="s">
        <v>46</v>
      </c>
      <c r="C2" s="165" t="s">
        <v>39</v>
      </c>
      <c r="D2" s="166" t="s">
        <v>1</v>
      </c>
      <c r="F2" s="322" t="s">
        <v>133</v>
      </c>
      <c r="G2" s="323" t="s">
        <v>39</v>
      </c>
      <c r="H2" s="323" t="s">
        <v>1</v>
      </c>
      <c r="I2" s="324" t="s">
        <v>129</v>
      </c>
    </row>
    <row r="3" spans="2:9" ht="18.75" customHeight="1" x14ac:dyDescent="0.25">
      <c r="B3" s="144" t="s">
        <v>38</v>
      </c>
      <c r="C3" s="145">
        <v>136940</v>
      </c>
      <c r="D3" s="134" t="s">
        <v>135</v>
      </c>
      <c r="F3" s="146"/>
      <c r="G3" s="147"/>
      <c r="H3" s="147"/>
      <c r="I3" s="148"/>
    </row>
    <row r="4" spans="2:9" ht="18.75" customHeight="1" x14ac:dyDescent="0.25">
      <c r="B4" s="85" t="s">
        <v>42</v>
      </c>
      <c r="C4" s="25">
        <v>271</v>
      </c>
      <c r="D4" s="56" t="s">
        <v>45</v>
      </c>
      <c r="F4" s="167" t="s">
        <v>227</v>
      </c>
      <c r="G4" s="78">
        <f>C5/C4*100</f>
        <v>73</v>
      </c>
      <c r="H4" s="57" t="s">
        <v>114</v>
      </c>
      <c r="I4" s="89">
        <v>85</v>
      </c>
    </row>
    <row r="5" spans="2:9" ht="18.75" customHeight="1" x14ac:dyDescent="0.25">
      <c r="B5" s="85" t="s">
        <v>43</v>
      </c>
      <c r="C5" s="25">
        <f>C4*0.73</f>
        <v>197.82999999999998</v>
      </c>
      <c r="D5" s="56" t="s">
        <v>45</v>
      </c>
      <c r="F5" s="90" t="s">
        <v>134</v>
      </c>
      <c r="G5" s="91">
        <f>(C14-C15)/C5</f>
        <v>1.6534398220694537</v>
      </c>
      <c r="H5" s="92" t="s">
        <v>150</v>
      </c>
      <c r="I5" s="89">
        <v>1.6</v>
      </c>
    </row>
    <row r="6" spans="2:9" ht="18.75" customHeight="1" x14ac:dyDescent="0.25">
      <c r="B6" s="93" t="s">
        <v>237</v>
      </c>
      <c r="C6" s="26">
        <v>800</v>
      </c>
      <c r="D6" s="94" t="s">
        <v>45</v>
      </c>
      <c r="E6" s="95"/>
      <c r="F6" s="96" t="s">
        <v>238</v>
      </c>
      <c r="G6" s="97">
        <f>C6-C4</f>
        <v>529</v>
      </c>
      <c r="H6" s="98" t="s">
        <v>45</v>
      </c>
      <c r="I6" s="99"/>
    </row>
    <row r="7" spans="2:9" ht="18.75" customHeight="1" x14ac:dyDescent="0.25">
      <c r="B7" s="85" t="s">
        <v>17</v>
      </c>
      <c r="C7" s="25">
        <v>47.3</v>
      </c>
      <c r="D7" s="56" t="s">
        <v>162</v>
      </c>
      <c r="F7" s="100"/>
      <c r="G7" s="88"/>
      <c r="H7" s="67"/>
      <c r="I7" s="89"/>
    </row>
    <row r="8" spans="2:9" ht="18.75" customHeight="1" x14ac:dyDescent="0.25">
      <c r="B8" s="85" t="s">
        <v>41</v>
      </c>
      <c r="C8" s="25">
        <v>4.2</v>
      </c>
      <c r="D8" s="56" t="s">
        <v>44</v>
      </c>
      <c r="F8" s="100"/>
      <c r="G8" s="88"/>
      <c r="H8" s="67"/>
      <c r="I8" s="89"/>
    </row>
    <row r="9" spans="2:9" ht="18.75" customHeight="1" x14ac:dyDescent="0.25">
      <c r="B9" s="93" t="s">
        <v>60</v>
      </c>
      <c r="C9" s="26">
        <v>20</v>
      </c>
      <c r="D9" s="94" t="s">
        <v>61</v>
      </c>
      <c r="E9" s="95"/>
      <c r="F9" s="96"/>
      <c r="G9" s="101"/>
      <c r="H9" s="98"/>
      <c r="I9" s="99"/>
    </row>
    <row r="10" spans="2:9" ht="18.75" customHeight="1" x14ac:dyDescent="0.25">
      <c r="B10" s="54" t="s">
        <v>19</v>
      </c>
      <c r="C10" s="25">
        <v>330</v>
      </c>
      <c r="D10" s="56" t="s">
        <v>200</v>
      </c>
      <c r="F10" s="87" t="s">
        <v>80</v>
      </c>
      <c r="G10" s="78">
        <f>C10/50</f>
        <v>6.6</v>
      </c>
      <c r="H10" s="102" t="s">
        <v>51</v>
      </c>
      <c r="I10" s="103" t="s">
        <v>126</v>
      </c>
    </row>
    <row r="11" spans="2:9" ht="18.75" customHeight="1" thickBot="1" x14ac:dyDescent="0.3">
      <c r="B11" s="58" t="s">
        <v>20</v>
      </c>
      <c r="C11" s="27">
        <v>7.2</v>
      </c>
      <c r="D11" s="60" t="s">
        <v>21</v>
      </c>
      <c r="F11" s="151"/>
      <c r="G11" s="149"/>
      <c r="H11" s="152"/>
      <c r="I11" s="150"/>
    </row>
    <row r="12" spans="2:9" ht="18.75" customHeight="1" thickBot="1" x14ac:dyDescent="0.3">
      <c r="C12" s="52"/>
      <c r="D12" s="52"/>
      <c r="F12" s="53"/>
      <c r="G12" s="53"/>
      <c r="H12" s="53"/>
      <c r="I12" s="53"/>
    </row>
    <row r="13" spans="2:9" ht="18.75" customHeight="1" thickBot="1" x14ac:dyDescent="0.3">
      <c r="B13" s="320" t="s">
        <v>50</v>
      </c>
      <c r="C13" s="165" t="s">
        <v>39</v>
      </c>
      <c r="D13" s="166" t="s">
        <v>1</v>
      </c>
      <c r="F13" s="320" t="s">
        <v>197</v>
      </c>
      <c r="G13" s="323" t="s">
        <v>39</v>
      </c>
      <c r="H13" s="323" t="s">
        <v>1</v>
      </c>
      <c r="I13" s="324" t="s">
        <v>129</v>
      </c>
    </row>
    <row r="14" spans="2:9" ht="18.75" customHeight="1" x14ac:dyDescent="0.25">
      <c r="B14" s="114" t="s">
        <v>57</v>
      </c>
      <c r="C14" s="115">
        <v>497.1</v>
      </c>
      <c r="D14" s="116" t="s">
        <v>72</v>
      </c>
      <c r="F14" s="119" t="s">
        <v>132</v>
      </c>
      <c r="G14" s="181">
        <f>C14-C15</f>
        <v>327.10000000000002</v>
      </c>
      <c r="H14" s="182" t="s">
        <v>72</v>
      </c>
      <c r="I14" s="106"/>
    </row>
    <row r="15" spans="2:9" ht="18.75" customHeight="1" x14ac:dyDescent="0.25">
      <c r="B15" s="85" t="s">
        <v>56</v>
      </c>
      <c r="C15" s="25">
        <v>170</v>
      </c>
      <c r="D15" s="56" t="s">
        <v>72</v>
      </c>
      <c r="F15" s="87" t="s">
        <v>52</v>
      </c>
      <c r="G15" s="78">
        <f>C15/C14*100</f>
        <v>34.198350432508548</v>
      </c>
      <c r="H15" s="57" t="s">
        <v>114</v>
      </c>
      <c r="I15" s="89">
        <v>40</v>
      </c>
    </row>
    <row r="16" spans="2:9" ht="18.75" customHeight="1" x14ac:dyDescent="0.25">
      <c r="B16" s="85" t="s">
        <v>55</v>
      </c>
      <c r="C16" s="25">
        <f>C15*0.6</f>
        <v>102</v>
      </c>
      <c r="D16" s="56" t="s">
        <v>72</v>
      </c>
      <c r="F16" s="87" t="s">
        <v>76</v>
      </c>
      <c r="G16" s="78">
        <f>C16/C14*100</f>
        <v>20.51901025950513</v>
      </c>
      <c r="H16" s="57" t="s">
        <v>114</v>
      </c>
      <c r="I16" s="89">
        <v>20</v>
      </c>
    </row>
    <row r="17" spans="2:9" ht="18.75" customHeight="1" x14ac:dyDescent="0.25">
      <c r="B17" s="85" t="s">
        <v>58</v>
      </c>
      <c r="C17" s="25">
        <v>28</v>
      </c>
      <c r="D17" s="56" t="s">
        <v>72</v>
      </c>
      <c r="F17" s="90" t="s">
        <v>140</v>
      </c>
      <c r="G17" s="78">
        <f>C17/C15*100</f>
        <v>16.470588235294116</v>
      </c>
      <c r="H17" s="57" t="s">
        <v>114</v>
      </c>
      <c r="I17" s="177" t="s">
        <v>236</v>
      </c>
    </row>
    <row r="18" spans="2:9" ht="18.75" customHeight="1" thickBot="1" x14ac:dyDescent="0.3">
      <c r="B18" s="104" t="s">
        <v>149</v>
      </c>
      <c r="C18" s="27">
        <v>200</v>
      </c>
      <c r="D18" s="60" t="s">
        <v>199</v>
      </c>
      <c r="F18" s="87" t="s">
        <v>59</v>
      </c>
      <c r="G18" s="88">
        <f>C14/C18</f>
        <v>2.4855</v>
      </c>
      <c r="H18" s="57" t="s">
        <v>21</v>
      </c>
      <c r="I18" s="89">
        <v>2.2000000000000002</v>
      </c>
    </row>
    <row r="19" spans="2:9" ht="18.75" customHeight="1" thickBot="1" x14ac:dyDescent="0.3">
      <c r="B19" s="179"/>
      <c r="C19" s="178"/>
      <c r="D19" s="83"/>
      <c r="F19" s="183" t="s">
        <v>239</v>
      </c>
      <c r="G19" s="149">
        <f>C18/C4</f>
        <v>0.73800738007380073</v>
      </c>
      <c r="H19" s="59" t="s">
        <v>21</v>
      </c>
      <c r="I19" s="150">
        <v>1.1000000000000001</v>
      </c>
    </row>
    <row r="20" spans="2:9" ht="18.75" customHeight="1" thickBot="1" x14ac:dyDescent="0.3">
      <c r="B20" s="105"/>
      <c r="C20" s="64"/>
      <c r="D20" s="64"/>
      <c r="F20" s="53"/>
      <c r="G20" s="53"/>
      <c r="H20" s="53"/>
      <c r="I20" s="53"/>
    </row>
    <row r="21" spans="2:9" ht="18.75" customHeight="1" thickBot="1" x14ac:dyDescent="0.3">
      <c r="B21" s="321" t="s">
        <v>53</v>
      </c>
      <c r="C21" s="157" t="s">
        <v>39</v>
      </c>
      <c r="D21" s="158" t="s">
        <v>1</v>
      </c>
      <c r="F21" s="321" t="s">
        <v>196</v>
      </c>
      <c r="G21" s="325" t="s">
        <v>39</v>
      </c>
      <c r="H21" s="325" t="s">
        <v>1</v>
      </c>
      <c r="I21" s="326" t="s">
        <v>129</v>
      </c>
    </row>
    <row r="22" spans="2:9" ht="18.75" customHeight="1" x14ac:dyDescent="0.25">
      <c r="B22" s="114" t="s">
        <v>47</v>
      </c>
      <c r="C22" s="115">
        <v>20</v>
      </c>
      <c r="D22" s="116" t="s">
        <v>72</v>
      </c>
      <c r="F22" s="119" t="s">
        <v>23</v>
      </c>
      <c r="G22" s="77">
        <f>C22/C15*100</f>
        <v>11.76470588235294</v>
      </c>
      <c r="H22" s="120" t="s">
        <v>114</v>
      </c>
      <c r="I22" s="180" t="s">
        <v>240</v>
      </c>
    </row>
    <row r="23" spans="2:9" ht="18.75" customHeight="1" x14ac:dyDescent="0.25">
      <c r="B23" s="85" t="s">
        <v>48</v>
      </c>
      <c r="C23" s="25">
        <f>C7*0.73</f>
        <v>34.528999999999996</v>
      </c>
      <c r="D23" s="56" t="s">
        <v>162</v>
      </c>
      <c r="F23" s="90" t="s">
        <v>136</v>
      </c>
      <c r="G23" s="78">
        <f>C23/C7*100</f>
        <v>73</v>
      </c>
      <c r="H23" s="57" t="s">
        <v>114</v>
      </c>
      <c r="I23" s="177" t="s">
        <v>241</v>
      </c>
    </row>
    <row r="24" spans="2:9" ht="18.75" customHeight="1" x14ac:dyDescent="0.25">
      <c r="B24" s="85" t="s">
        <v>49</v>
      </c>
      <c r="C24" s="25">
        <f>C8*0.53</f>
        <v>2.2260000000000004</v>
      </c>
      <c r="D24" s="56" t="s">
        <v>163</v>
      </c>
      <c r="F24" s="90" t="s">
        <v>137</v>
      </c>
      <c r="G24" s="78">
        <f>C24/C8*100</f>
        <v>53</v>
      </c>
      <c r="H24" s="57" t="s">
        <v>114</v>
      </c>
      <c r="I24" s="177" t="s">
        <v>242</v>
      </c>
    </row>
    <row r="25" spans="2:9" ht="18.75" customHeight="1" x14ac:dyDescent="0.25">
      <c r="B25" s="85" t="s">
        <v>54</v>
      </c>
      <c r="C25" s="25">
        <v>0</v>
      </c>
      <c r="D25" s="56" t="s">
        <v>162</v>
      </c>
      <c r="F25" s="86"/>
      <c r="G25" s="107"/>
      <c r="H25" s="67"/>
      <c r="I25" s="108"/>
    </row>
    <row r="26" spans="2:9" ht="18.75" customHeight="1" x14ac:dyDescent="0.25">
      <c r="B26" s="117" t="s">
        <v>127</v>
      </c>
      <c r="C26" s="25">
        <v>150</v>
      </c>
      <c r="D26" s="109" t="s">
        <v>45</v>
      </c>
      <c r="F26" s="86"/>
      <c r="G26" s="107"/>
      <c r="H26" s="67"/>
      <c r="I26" s="121"/>
    </row>
    <row r="27" spans="2:9" ht="18.75" customHeight="1" thickBot="1" x14ac:dyDescent="0.3">
      <c r="B27" s="31" t="s">
        <v>11</v>
      </c>
      <c r="C27" s="25">
        <v>15</v>
      </c>
      <c r="D27" s="109" t="s">
        <v>45</v>
      </c>
      <c r="F27" s="58" t="s">
        <v>151</v>
      </c>
      <c r="G27" s="80">
        <f>G6-C26-C27-C25-C24-C28</f>
        <v>345.774</v>
      </c>
      <c r="H27" s="66" t="s">
        <v>45</v>
      </c>
      <c r="I27" s="153" t="s">
        <v>180</v>
      </c>
    </row>
    <row r="28" spans="2:9" ht="18.75" customHeight="1" x14ac:dyDescent="0.25">
      <c r="B28" s="31" t="s">
        <v>187</v>
      </c>
      <c r="C28" s="25">
        <v>16</v>
      </c>
      <c r="D28" s="109" t="s">
        <v>45</v>
      </c>
      <c r="F28" s="82"/>
      <c r="G28" s="142"/>
      <c r="H28" s="83"/>
      <c r="I28" s="143"/>
    </row>
    <row r="29" spans="2:9" ht="18.75" customHeight="1" x14ac:dyDescent="0.25">
      <c r="B29" s="141" t="s">
        <v>181</v>
      </c>
      <c r="C29" s="327">
        <v>300</v>
      </c>
      <c r="D29" s="109" t="s">
        <v>45</v>
      </c>
      <c r="F29" s="53"/>
      <c r="G29" s="53"/>
      <c r="H29" s="53"/>
      <c r="I29" s="53"/>
    </row>
    <row r="30" spans="2:9" ht="18.75" customHeight="1" thickBot="1" x14ac:dyDescent="0.3">
      <c r="B30" s="118" t="s">
        <v>195</v>
      </c>
      <c r="C30" s="27">
        <v>110</v>
      </c>
      <c r="D30" s="110" t="s">
        <v>45</v>
      </c>
      <c r="F30" s="53"/>
      <c r="G30" s="53"/>
      <c r="H30" s="53"/>
      <c r="I30" s="53"/>
    </row>
    <row r="31" spans="2:9" ht="18.75" customHeight="1" x14ac:dyDescent="0.25"/>
  </sheetData>
  <sheetProtection selectLockedCells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"/>
  <sheetViews>
    <sheetView showGridLines="0" zoomScale="70" zoomScaleNormal="70" workbookViewId="0"/>
  </sheetViews>
  <sheetFormatPr defaultColWidth="9.140625" defaultRowHeight="18.75" customHeight="1" x14ac:dyDescent="0.25"/>
  <cols>
    <col min="1" max="1" width="4" customWidth="1"/>
    <col min="2" max="2" width="87.140625" bestFit="1" customWidth="1"/>
    <col min="3" max="3" width="13.28515625" customWidth="1"/>
    <col min="4" max="4" width="20.7109375" customWidth="1"/>
    <col min="5" max="5" width="7.140625" customWidth="1"/>
    <col min="6" max="6" width="40.7109375" customWidth="1"/>
    <col min="7" max="7" width="14.7109375" customWidth="1"/>
    <col min="8" max="8" width="20.7109375" customWidth="1"/>
    <col min="9" max="9" width="17.85546875" customWidth="1"/>
  </cols>
  <sheetData>
    <row r="1" spans="2:9" ht="18.75" customHeight="1" thickBot="1" x14ac:dyDescent="0.3">
      <c r="D1" s="73"/>
    </row>
    <row r="2" spans="2:9" ht="30.75" thickBot="1" x14ac:dyDescent="0.3">
      <c r="B2" s="164" t="s">
        <v>130</v>
      </c>
      <c r="C2" s="323" t="s">
        <v>225</v>
      </c>
      <c r="D2" s="166" t="s">
        <v>228</v>
      </c>
      <c r="F2" s="156" t="s">
        <v>118</v>
      </c>
      <c r="G2" s="157" t="s">
        <v>75</v>
      </c>
      <c r="H2" s="157" t="s">
        <v>74</v>
      </c>
      <c r="I2" s="158" t="s">
        <v>124</v>
      </c>
    </row>
    <row r="3" spans="2:9" ht="19.149999999999999" customHeight="1" x14ac:dyDescent="0.25">
      <c r="B3" s="186" t="s">
        <v>248</v>
      </c>
      <c r="C3" s="136">
        <v>40.5</v>
      </c>
      <c r="D3" s="168">
        <f>Data!G15</f>
        <v>34.198350432508548</v>
      </c>
      <c r="F3" s="75" t="s">
        <v>57</v>
      </c>
      <c r="G3" s="76">
        <f>Data!C14</f>
        <v>497.1</v>
      </c>
      <c r="H3" s="77">
        <f>G3</f>
        <v>497.1</v>
      </c>
      <c r="I3" s="331" t="str">
        <f>IF(ABS((H3-G3)/H3)&lt;Calculations!$C$9,Calculations!$C$8,IF(ABS((H3-G3)/G3)&gt;Calculations!$E$9,Calculations!$E$8,Calculations!$D$8))</f>
        <v>good match</v>
      </c>
    </row>
    <row r="4" spans="2:9" ht="19.149999999999999" customHeight="1" x14ac:dyDescent="0.25">
      <c r="B4" s="184" t="s">
        <v>249</v>
      </c>
      <c r="C4" s="55">
        <v>20.2</v>
      </c>
      <c r="D4" s="169">
        <f>Data!G16</f>
        <v>20.51901025950513</v>
      </c>
      <c r="F4" s="54" t="s">
        <v>77</v>
      </c>
      <c r="G4" s="55">
        <f>Data!C15</f>
        <v>170</v>
      </c>
      <c r="H4" s="78">
        <f>G3*D3/100</f>
        <v>170</v>
      </c>
      <c r="I4" s="332" t="str">
        <f>IF(ABS((H4-G4)/H4)&lt;Calculations!$C$9,Calculations!$C$8,IF(ABS((H4-G4)/G4)&gt;Calculations!$E$9,Calculations!$E$8,Calculations!$D$8))</f>
        <v>good match</v>
      </c>
    </row>
    <row r="5" spans="2:9" ht="19.149999999999999" customHeight="1" x14ac:dyDescent="0.25">
      <c r="B5" s="184" t="s">
        <v>250</v>
      </c>
      <c r="C5" s="55">
        <v>11.8</v>
      </c>
      <c r="D5" s="169">
        <f>Data!G22</f>
        <v>11.76470588235294</v>
      </c>
      <c r="F5" s="54" t="s">
        <v>78</v>
      </c>
      <c r="G5" s="55">
        <f>Data!C16</f>
        <v>102</v>
      </c>
      <c r="H5" s="78">
        <f>G3*D4/100</f>
        <v>102</v>
      </c>
      <c r="I5" s="332" t="str">
        <f>IF(ABS((H5-G5)/H5)&lt;Calculations!$C$9,Calculations!$C$8,IF(ABS((H5-G5)/G5)&gt;Calculations!$E$9,Calculations!$E$8,Calculations!$D$8))</f>
        <v>good match</v>
      </c>
    </row>
    <row r="6" spans="2:9" ht="19.149999999999999" customHeight="1" thickBot="1" x14ac:dyDescent="0.3">
      <c r="B6" s="185" t="s">
        <v>251</v>
      </c>
      <c r="C6" s="79">
        <v>11.8</v>
      </c>
      <c r="D6" s="170">
        <f>Data!G17</f>
        <v>16.470588235294116</v>
      </c>
      <c r="F6" s="54" t="s">
        <v>79</v>
      </c>
      <c r="G6" s="55">
        <f>Data!C18</f>
        <v>200</v>
      </c>
      <c r="H6" s="78">
        <f>Calculations!D5</f>
        <v>214.23212499999997</v>
      </c>
      <c r="I6" s="332" t="str">
        <f>IF(ABS((H6-G6)/H6)&lt;Calculations!$C$10,Calculations!$C$8,IF(ABS((H6-G6)/G6)&gt;Calculations!$E$10,Calculations!$E$8,Calculations!$D$8))</f>
        <v>good match</v>
      </c>
    </row>
    <row r="7" spans="2:9" ht="19.149999999999999" customHeight="1" x14ac:dyDescent="0.25">
      <c r="B7" s="254"/>
      <c r="C7" s="255"/>
      <c r="D7" s="142"/>
      <c r="F7" s="54" t="s">
        <v>42</v>
      </c>
      <c r="G7" s="55">
        <f>Data!C4</f>
        <v>271</v>
      </c>
      <c r="H7" s="78">
        <f>H8/Data!G4*100</f>
        <v>275.41104715278925</v>
      </c>
      <c r="I7" s="332" t="str">
        <f>IF(ABS((H7-G7)/H7)&lt;Calculations!$C$11,Calculations!$C$8,IF(ABS((H7-G7)/G7)&gt;Calculations!$E$11,Calculations!$E$8,Calculations!$D$8))</f>
        <v>good match</v>
      </c>
    </row>
    <row r="8" spans="2:9" ht="19.149999999999999" customHeight="1" thickBot="1" x14ac:dyDescent="0.3">
      <c r="F8" s="58" t="s">
        <v>43</v>
      </c>
      <c r="G8" s="79">
        <f>Data!C5</f>
        <v>197.82999999999998</v>
      </c>
      <c r="H8" s="80">
        <f>(SUM(Balances!C15:C19)+Balances!C10)/D20+Balances!C6/D21+Balances!C9/D22+Balances!C11/D23+Balances!C20/Balances!K19</f>
        <v>201.05006442153615</v>
      </c>
      <c r="I8" s="333" t="str">
        <f>IF(ABS((H8-G8)/H8)&lt;Calculations!$C$11,Calculations!$C$8,IF(ABS((H8-G8)/G8)&gt;Calculations!$E$11,Calculations!$E$8,Calculations!$D$8))</f>
        <v>good match</v>
      </c>
    </row>
    <row r="9" spans="2:9" ht="36" customHeight="1" thickBot="1" x14ac:dyDescent="0.3">
      <c r="B9" s="156" t="s">
        <v>131</v>
      </c>
      <c r="C9" s="328" t="s">
        <v>225</v>
      </c>
      <c r="D9" s="158" t="s">
        <v>226</v>
      </c>
    </row>
    <row r="10" spans="2:9" ht="19.149999999999999" customHeight="1" thickBot="1" x14ac:dyDescent="0.3">
      <c r="B10" s="194" t="s">
        <v>252</v>
      </c>
      <c r="C10" s="123">
        <v>14</v>
      </c>
      <c r="D10" s="124">
        <v>14</v>
      </c>
      <c r="F10" s="164" t="s">
        <v>66</v>
      </c>
      <c r="G10" s="415" t="s">
        <v>224</v>
      </c>
      <c r="H10" s="415"/>
      <c r="I10" s="416"/>
    </row>
    <row r="11" spans="2:9" ht="19.149999999999999" customHeight="1" x14ac:dyDescent="0.25">
      <c r="B11" s="215" t="s">
        <v>253</v>
      </c>
      <c r="C11" s="74">
        <v>5</v>
      </c>
      <c r="D11" s="71">
        <v>5</v>
      </c>
      <c r="F11" s="131" t="s">
        <v>40</v>
      </c>
      <c r="G11" s="417" t="str">
        <f>IF(Balances!C6&gt;0,"OK", "No, please check the data (Total COD, FilteredCOD and Filtered flocculated COD) and the fractions")</f>
        <v>OK</v>
      </c>
      <c r="H11" s="417"/>
      <c r="I11" s="418"/>
    </row>
    <row r="12" spans="2:9" ht="19.149999999999999" customHeight="1" x14ac:dyDescent="0.25">
      <c r="B12" s="215" t="s">
        <v>316</v>
      </c>
      <c r="C12" s="74">
        <v>20</v>
      </c>
      <c r="D12" s="71">
        <v>20</v>
      </c>
      <c r="F12" s="54" t="s">
        <v>17</v>
      </c>
      <c r="G12" s="419" t="str">
        <f>IF(Balances!G11&gt;0,"OK", "No, please check the data (TKN, Ammonia) and the fractions")</f>
        <v>OK</v>
      </c>
      <c r="H12" s="419"/>
      <c r="I12" s="420"/>
    </row>
    <row r="13" spans="2:9" ht="19.149999999999999" customHeight="1" x14ac:dyDescent="0.25">
      <c r="B13" s="215" t="s">
        <v>254</v>
      </c>
      <c r="C13" s="74">
        <v>20</v>
      </c>
      <c r="D13" s="71">
        <v>20</v>
      </c>
      <c r="F13" s="54" t="s">
        <v>41</v>
      </c>
      <c r="G13" s="419" t="str">
        <f>IF(Balances!G26&gt;0,"OK", "No, please check the data (TP, Phosphates) and the fractions")</f>
        <v>OK</v>
      </c>
      <c r="H13" s="419"/>
      <c r="I13" s="420"/>
    </row>
    <row r="14" spans="2:9" ht="19.149999999999999" customHeight="1" thickBot="1" x14ac:dyDescent="0.3">
      <c r="B14" s="189" t="s">
        <v>255</v>
      </c>
      <c r="C14" s="74">
        <v>4</v>
      </c>
      <c r="D14" s="71">
        <v>4</v>
      </c>
      <c r="F14" s="58" t="s">
        <v>42</v>
      </c>
      <c r="G14" s="421" t="str">
        <f>IF(Balances!C27&gt;0,"OK", "No, please check the data (TSS and VSS) and the fractions")</f>
        <v>OK</v>
      </c>
      <c r="H14" s="422"/>
      <c r="I14" s="423"/>
    </row>
    <row r="15" spans="2:9" ht="19.149999999999999" customHeight="1" x14ac:dyDescent="0.25">
      <c r="B15" s="189" t="s">
        <v>256</v>
      </c>
      <c r="C15" s="74">
        <v>1</v>
      </c>
      <c r="D15" s="71">
        <v>1</v>
      </c>
    </row>
    <row r="16" spans="2:9" ht="19.149999999999999" customHeight="1" x14ac:dyDescent="0.25">
      <c r="B16" s="189" t="s">
        <v>257</v>
      </c>
      <c r="C16" s="74">
        <v>1</v>
      </c>
      <c r="D16" s="71">
        <v>1</v>
      </c>
    </row>
    <row r="17" spans="2:9" ht="19.149999999999999" customHeight="1" thickBot="1" x14ac:dyDescent="0.3">
      <c r="B17" s="190" t="s">
        <v>258</v>
      </c>
      <c r="C17" s="81">
        <v>0.1</v>
      </c>
      <c r="D17" s="72">
        <v>0.1</v>
      </c>
    </row>
    <row r="18" spans="2:9" ht="19.149999999999999" customHeight="1" thickBot="1" x14ac:dyDescent="0.3">
      <c r="B18" s="82"/>
      <c r="C18" s="83"/>
      <c r="D18" s="84"/>
    </row>
    <row r="19" spans="2:9" ht="36" customHeight="1" thickBot="1" x14ac:dyDescent="0.3">
      <c r="B19" s="156" t="s">
        <v>170</v>
      </c>
      <c r="C19" s="328" t="s">
        <v>13</v>
      </c>
      <c r="D19" s="329" t="s">
        <v>264</v>
      </c>
      <c r="F19" s="330" t="s">
        <v>141</v>
      </c>
      <c r="G19" s="157" t="s">
        <v>142</v>
      </c>
      <c r="H19" s="157" t="s">
        <v>143</v>
      </c>
      <c r="I19" s="158" t="s">
        <v>124</v>
      </c>
    </row>
    <row r="20" spans="2:9" ht="19.149999999999999" customHeight="1" x14ac:dyDescent="0.25">
      <c r="B20" s="237" t="s">
        <v>259</v>
      </c>
      <c r="C20" s="123">
        <v>1.42</v>
      </c>
      <c r="D20" s="176">
        <v>1.42</v>
      </c>
      <c r="F20" s="403" t="s">
        <v>148</v>
      </c>
      <c r="G20" s="406">
        <f>Data!G5</f>
        <v>1.6534398220694537</v>
      </c>
      <c r="H20" s="409">
        <f>(D20*(SUM(Balances!C15:C19)+Balances!C10)+D21*Balances!C6+D22*Balances!C9+D23*Balances!C11)/((SUM(Balances!C15:C19)+Balances!C10)+Balances!C6+Balances!C9+Balances!C11)</f>
        <v>1.6583026001835421</v>
      </c>
      <c r="I20" s="412" t="str">
        <f>IF(ABS((G20-H20)/H20)&lt;Calculations!$C$9,Calculations!$C$8,IF(ABS((G20-H20)/G20)&gt;Calculations!$E$9,Calculations!$E$8,Calculations!$D$8))</f>
        <v>good match</v>
      </c>
    </row>
    <row r="21" spans="2:9" ht="19.149999999999999" customHeight="1" x14ac:dyDescent="0.25">
      <c r="B21" s="238" t="s">
        <v>260</v>
      </c>
      <c r="C21" s="74">
        <v>1.8</v>
      </c>
      <c r="D21" s="69">
        <v>1.8</v>
      </c>
      <c r="F21" s="404"/>
      <c r="G21" s="407"/>
      <c r="H21" s="410"/>
      <c r="I21" s="413"/>
    </row>
    <row r="22" spans="2:9" ht="19.149999999999999" customHeight="1" x14ac:dyDescent="0.25">
      <c r="B22" s="238" t="s">
        <v>261</v>
      </c>
      <c r="C22" s="74">
        <v>1.3</v>
      </c>
      <c r="D22" s="68">
        <v>1.3</v>
      </c>
      <c r="F22" s="404"/>
      <c r="G22" s="407"/>
      <c r="H22" s="410"/>
      <c r="I22" s="413"/>
    </row>
    <row r="23" spans="2:9" ht="19.149999999999999" customHeight="1" thickBot="1" x14ac:dyDescent="0.3">
      <c r="B23" s="187" t="s">
        <v>262</v>
      </c>
      <c r="C23" s="81">
        <v>1.42</v>
      </c>
      <c r="D23" s="70">
        <v>1.42</v>
      </c>
      <c r="F23" s="405"/>
      <c r="G23" s="408"/>
      <c r="H23" s="411"/>
      <c r="I23" s="414"/>
    </row>
    <row r="24" spans="2:9" ht="19.149999999999999" customHeight="1" thickBot="1" x14ac:dyDescent="0.3"/>
    <row r="25" spans="2:9" ht="19.149999999999999" customHeight="1" thickBot="1" x14ac:dyDescent="0.3">
      <c r="B25" s="156" t="s">
        <v>243</v>
      </c>
      <c r="C25" s="328" t="s">
        <v>13</v>
      </c>
      <c r="D25" s="158" t="s">
        <v>128</v>
      </c>
    </row>
    <row r="26" spans="2:9" ht="19.149999999999999" customHeight="1" x14ac:dyDescent="0.25">
      <c r="B26" s="237" t="s">
        <v>244</v>
      </c>
      <c r="C26" s="123">
        <v>0.95</v>
      </c>
      <c r="D26" s="176">
        <v>0.95</v>
      </c>
    </row>
    <row r="27" spans="2:9" ht="19.149999999999999" customHeight="1" x14ac:dyDescent="0.25">
      <c r="B27" s="238" t="s">
        <v>245</v>
      </c>
      <c r="C27" s="74">
        <v>0.9</v>
      </c>
      <c r="D27" s="68">
        <v>0.9</v>
      </c>
    </row>
    <row r="28" spans="2:9" ht="19.149999999999999" customHeight="1" x14ac:dyDescent="0.25">
      <c r="B28" s="238" t="s">
        <v>246</v>
      </c>
      <c r="C28" s="74">
        <v>0.6</v>
      </c>
      <c r="D28" s="68">
        <v>0.6</v>
      </c>
    </row>
    <row r="29" spans="2:9" ht="18.75" customHeight="1" thickBot="1" x14ac:dyDescent="0.3">
      <c r="B29" s="187" t="s">
        <v>247</v>
      </c>
      <c r="C29" s="81">
        <v>0.5</v>
      </c>
      <c r="D29" s="70">
        <v>0.5</v>
      </c>
    </row>
  </sheetData>
  <mergeCells count="9">
    <mergeCell ref="F20:F23"/>
    <mergeCell ref="G20:G23"/>
    <mergeCell ref="H20:H23"/>
    <mergeCell ref="I20:I23"/>
    <mergeCell ref="G10:I10"/>
    <mergeCell ref="G11:I11"/>
    <mergeCell ref="G12:I12"/>
    <mergeCell ref="G13:I13"/>
    <mergeCell ref="G14:I14"/>
  </mergeCells>
  <conditionalFormatting sqref="G11:I13 G14">
    <cfRule type="cellIs" dxfId="12" priority="1" operator="equal">
      <formula>"OK"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3360C55C-806C-4825-B78B-99E52CD66826}">
            <xm:f>NOT(ISERROR(SEARCH(Calculations!$E$8,I3)))</xm:f>
            <xm:f>Calculations!$E$8</xm:f>
            <x14:dxf>
              <fill>
                <patternFill>
                  <bgColor rgb="FFFF3300"/>
                </patternFill>
              </fill>
            </x14:dxf>
          </x14:cfRule>
          <x14:cfRule type="containsText" priority="24" operator="containsText" id="{C082239F-23E1-4964-8CC1-63D67EE6E0CD}">
            <xm:f>NOT(ISERROR(SEARCH(Calculations!$D$8,I3)))</xm:f>
            <xm:f>Calculations!$D$8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5" operator="containsText" id="{1B3D0A93-CA5C-46AD-91AC-3E2916A03A82}">
            <xm:f>NOT(ISERROR(SEARCH(Calculations!$C$8,I3)))</xm:f>
            <xm:f>Calculations!$C$8</xm:f>
            <x14:dxf>
              <fill>
                <patternFill>
                  <bgColor theme="9" tint="0.39994506668294322"/>
                </patternFill>
              </fill>
            </x14:dxf>
          </x14:cfRule>
          <xm:sqref>I3:I8 K7</xm:sqref>
        </x14:conditionalFormatting>
        <x14:conditionalFormatting xmlns:xm="http://schemas.microsoft.com/office/excel/2006/main">
          <x14:cfRule type="containsText" priority="17" operator="containsText" id="{1BA10E23-7A82-4660-B025-C200E81201A4}">
            <xm:f>NOT(ISERROR(SEARCH(Calculations!$E$8,I20)))</xm:f>
            <xm:f>Calculations!$E$8</xm:f>
            <x14:dxf>
              <fill>
                <patternFill>
                  <bgColor rgb="FFFF3300"/>
                </patternFill>
              </fill>
            </x14:dxf>
          </x14:cfRule>
          <x14:cfRule type="containsText" priority="18" operator="containsText" id="{12862939-D004-4A51-BF9C-1CAD5E4D78CC}">
            <xm:f>NOT(ISERROR(SEARCH(Calculations!$D$8,I20)))</xm:f>
            <xm:f>Calculations!$D$8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" operator="containsText" id="{0B8515C4-ED28-473E-B0A4-3B2C129DF418}">
            <xm:f>NOT(ISERROR(SEARCH(Calculations!$C$8,I20)))</xm:f>
            <xm:f>Calculations!$C$8</xm:f>
            <x14:dxf>
              <fill>
                <patternFill>
                  <bgColor theme="9" tint="0.39994506668294322"/>
                </patternFill>
              </fill>
            </x14:dxf>
          </x14:cfRule>
          <xm:sqref>I20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3"/>
  <sheetViews>
    <sheetView showGridLines="0" tabSelected="1" zoomScale="88" zoomScaleNormal="115" workbookViewId="0">
      <selection activeCell="D18" sqref="D18:D32"/>
    </sheetView>
  </sheetViews>
  <sheetFormatPr defaultColWidth="9.140625" defaultRowHeight="15" x14ac:dyDescent="0.25"/>
  <cols>
    <col min="1" max="1" width="4.7109375" style="53" customWidth="1"/>
    <col min="2" max="2" width="9.42578125" style="401" bestFit="1" customWidth="1"/>
    <col min="3" max="3" width="89.7109375" style="53" customWidth="1"/>
    <col min="4" max="5" width="16.140625" style="53" customWidth="1"/>
    <col min="6" max="6" width="16.42578125" style="53" customWidth="1"/>
    <col min="7" max="7" width="4.28515625" style="53" customWidth="1"/>
    <col min="8" max="8" width="4.140625" style="307" customWidth="1"/>
    <col min="9" max="9" width="4.7109375" style="307" customWidth="1"/>
    <col min="10" max="10" width="10.140625" style="307" bestFit="1" customWidth="1"/>
    <col min="11" max="11" width="71.140625" style="53" bestFit="1" customWidth="1"/>
    <col min="12" max="12" width="9.140625" style="53"/>
    <col min="13" max="14" width="11.85546875" style="53" bestFit="1" customWidth="1"/>
    <col min="15" max="16384" width="9.140625" style="53"/>
  </cols>
  <sheetData>
    <row r="1" spans="1:16" ht="15.75" thickBot="1" x14ac:dyDescent="0.3">
      <c r="A1"/>
      <c r="B1"/>
      <c r="C1"/>
      <c r="D1"/>
      <c r="E1"/>
      <c r="F1"/>
      <c r="I1"/>
      <c r="J1"/>
      <c r="K1"/>
      <c r="L1"/>
      <c r="M1"/>
      <c r="N1"/>
    </row>
    <row r="2" spans="1:16" ht="19.5" thickBot="1" x14ac:dyDescent="0.35">
      <c r="A2" s="424" t="s">
        <v>270</v>
      </c>
      <c r="B2" s="425"/>
      <c r="C2" s="425"/>
      <c r="D2" s="425"/>
      <c r="E2" s="425"/>
      <c r="F2" s="426"/>
      <c r="I2" s="424" t="s">
        <v>265</v>
      </c>
      <c r="J2" s="425"/>
      <c r="K2" s="425"/>
      <c r="L2" s="425"/>
      <c r="M2" s="425"/>
      <c r="N2" s="426"/>
    </row>
    <row r="3" spans="1:16" ht="15.75" thickBot="1" x14ac:dyDescent="0.3">
      <c r="C3" s="51"/>
      <c r="D3" s="52"/>
      <c r="E3" s="52"/>
      <c r="F3" s="52"/>
      <c r="I3"/>
      <c r="J3"/>
      <c r="K3" s="335"/>
      <c r="L3" s="336"/>
      <c r="M3" s="336"/>
      <c r="N3" s="336"/>
    </row>
    <row r="4" spans="1:16" ht="15.75" thickBot="1" x14ac:dyDescent="0.3">
      <c r="C4" s="339" t="s">
        <v>12</v>
      </c>
      <c r="D4" s="52"/>
      <c r="E4" s="52"/>
      <c r="F4" s="52"/>
      <c r="I4"/>
      <c r="J4"/>
      <c r="K4" s="348" t="s">
        <v>266</v>
      </c>
      <c r="L4" s="336"/>
      <c r="M4" s="336"/>
      <c r="N4" s="336"/>
    </row>
    <row r="5" spans="1:16" ht="15.75" thickBot="1" x14ac:dyDescent="0.3">
      <c r="B5" s="164" t="s">
        <v>419</v>
      </c>
      <c r="C5" s="164" t="s">
        <v>0</v>
      </c>
      <c r="D5" s="165" t="s">
        <v>39</v>
      </c>
      <c r="E5" s="165" t="s">
        <v>71</v>
      </c>
      <c r="F5" s="166" t="s">
        <v>70</v>
      </c>
      <c r="I5"/>
      <c r="J5" s="164" t="s">
        <v>419</v>
      </c>
      <c r="K5" s="349" t="s">
        <v>0</v>
      </c>
      <c r="L5" s="351" t="s">
        <v>39</v>
      </c>
      <c r="M5" s="351" t="s">
        <v>71</v>
      </c>
      <c r="N5" s="329" t="s">
        <v>70</v>
      </c>
    </row>
    <row r="6" spans="1:16" ht="18" x14ac:dyDescent="0.25">
      <c r="B6" s="131" t="s">
        <v>14</v>
      </c>
      <c r="C6" s="131" t="s">
        <v>15</v>
      </c>
      <c r="D6" s="132">
        <f>Data!C3</f>
        <v>136940</v>
      </c>
      <c r="E6" s="136" t="s">
        <v>167</v>
      </c>
      <c r="F6" s="134" t="s">
        <v>73</v>
      </c>
      <c r="I6"/>
      <c r="J6" s="194" t="s">
        <v>477</v>
      </c>
      <c r="K6" s="194" t="s">
        <v>260</v>
      </c>
      <c r="L6" s="202">
        <f>'Check fractions'!D21</f>
        <v>1.8</v>
      </c>
      <c r="M6" s="195" t="s">
        <v>267</v>
      </c>
      <c r="N6" s="196" t="s">
        <v>267</v>
      </c>
    </row>
    <row r="7" spans="1:16" ht="18" x14ac:dyDescent="0.25">
      <c r="B7" s="54" t="s">
        <v>420</v>
      </c>
      <c r="C7" s="54" t="s">
        <v>16</v>
      </c>
      <c r="D7" s="49">
        <f>Data!C14</f>
        <v>497.1</v>
      </c>
      <c r="E7" s="57" t="s">
        <v>158</v>
      </c>
      <c r="F7" s="56" t="s">
        <v>72</v>
      </c>
      <c r="I7"/>
      <c r="J7" s="215" t="s">
        <v>478</v>
      </c>
      <c r="K7" s="215" t="s">
        <v>261</v>
      </c>
      <c r="L7" s="204">
        <f>'Check fractions'!D22</f>
        <v>1.3</v>
      </c>
      <c r="M7" s="193" t="s">
        <v>267</v>
      </c>
      <c r="N7" s="192" t="s">
        <v>267</v>
      </c>
    </row>
    <row r="8" spans="1:16" ht="18" x14ac:dyDescent="0.25">
      <c r="B8" s="54" t="s">
        <v>421</v>
      </c>
      <c r="C8" s="54" t="s">
        <v>17</v>
      </c>
      <c r="D8" s="49">
        <f>Data!C7</f>
        <v>47.3</v>
      </c>
      <c r="E8" s="57" t="s">
        <v>161</v>
      </c>
      <c r="F8" s="56" t="s">
        <v>162</v>
      </c>
      <c r="I8"/>
      <c r="J8" s="238" t="s">
        <v>479</v>
      </c>
      <c r="K8" s="238" t="s">
        <v>259</v>
      </c>
      <c r="L8" s="204">
        <f>'Check fractions'!D20</f>
        <v>1.42</v>
      </c>
      <c r="M8" s="253" t="s">
        <v>267</v>
      </c>
      <c r="N8" s="192" t="s">
        <v>267</v>
      </c>
    </row>
    <row r="9" spans="1:16" ht="18.75" thickBot="1" x14ac:dyDescent="0.3">
      <c r="B9" s="58" t="s">
        <v>422</v>
      </c>
      <c r="C9" s="58" t="s">
        <v>18</v>
      </c>
      <c r="D9" s="50">
        <f>Data!C8</f>
        <v>4.2</v>
      </c>
      <c r="E9" s="59" t="s">
        <v>164</v>
      </c>
      <c r="F9" s="60" t="s">
        <v>163</v>
      </c>
      <c r="I9"/>
      <c r="J9" s="200" t="s">
        <v>480</v>
      </c>
      <c r="K9" s="200" t="s">
        <v>262</v>
      </c>
      <c r="L9" s="201">
        <f>'Check fractions'!D23</f>
        <v>1.42</v>
      </c>
      <c r="M9" s="205" t="s">
        <v>267</v>
      </c>
      <c r="N9" s="206" t="s">
        <v>267</v>
      </c>
    </row>
    <row r="10" spans="1:16" ht="15.75" thickBot="1" x14ac:dyDescent="0.3">
      <c r="C10" s="82"/>
      <c r="D10" s="135"/>
      <c r="E10" s="83"/>
      <c r="F10" s="83"/>
      <c r="I10"/>
      <c r="J10" s="401"/>
      <c r="O10" s="401"/>
      <c r="P10" s="401"/>
    </row>
    <row r="11" spans="1:16" ht="15.75" thickBot="1" x14ac:dyDescent="0.3">
      <c r="C11" s="339" t="s">
        <v>186</v>
      </c>
      <c r="D11" s="252" t="s">
        <v>310</v>
      </c>
      <c r="E11" s="83"/>
      <c r="F11" s="83"/>
      <c r="I11"/>
      <c r="J11"/>
      <c r="K11" s="348" t="s">
        <v>311</v>
      </c>
      <c r="L11" s="337"/>
      <c r="M11" s="338"/>
      <c r="N11" s="338"/>
    </row>
    <row r="12" spans="1:16" ht="15.75" thickBot="1" x14ac:dyDescent="0.3">
      <c r="B12" s="164" t="s">
        <v>419</v>
      </c>
      <c r="C12" s="164" t="s">
        <v>0</v>
      </c>
      <c r="D12" s="165" t="s">
        <v>39</v>
      </c>
      <c r="E12" s="165" t="s">
        <v>71</v>
      </c>
      <c r="F12" s="166" t="s">
        <v>70</v>
      </c>
      <c r="I12"/>
      <c r="J12" s="164" t="s">
        <v>419</v>
      </c>
      <c r="K12" s="350" t="s">
        <v>0</v>
      </c>
      <c r="L12" s="352" t="s">
        <v>39</v>
      </c>
      <c r="M12" s="352" t="s">
        <v>71</v>
      </c>
      <c r="N12" s="353" t="s">
        <v>70</v>
      </c>
    </row>
    <row r="13" spans="1:16" ht="18" x14ac:dyDescent="0.25">
      <c r="B13" s="131" t="s">
        <v>423</v>
      </c>
      <c r="C13" s="131" t="s">
        <v>19</v>
      </c>
      <c r="D13" s="132">
        <f>Data!C10</f>
        <v>330</v>
      </c>
      <c r="E13" s="133" t="s">
        <v>165</v>
      </c>
      <c r="F13" s="134" t="s">
        <v>166</v>
      </c>
      <c r="I13"/>
      <c r="J13" s="197" t="s">
        <v>481</v>
      </c>
      <c r="K13" s="197" t="s">
        <v>268</v>
      </c>
      <c r="L13" s="203">
        <f>'Check fractions'!D26</f>
        <v>0.95</v>
      </c>
      <c r="M13" s="199" t="s">
        <v>269</v>
      </c>
      <c r="N13" s="198" t="s">
        <v>269</v>
      </c>
    </row>
    <row r="14" spans="1:16" ht="18.75" thickBot="1" x14ac:dyDescent="0.3">
      <c r="B14" s="58" t="s">
        <v>20</v>
      </c>
      <c r="C14" s="58" t="s">
        <v>20</v>
      </c>
      <c r="D14" s="50">
        <f>Data!C11</f>
        <v>7.2</v>
      </c>
      <c r="E14" s="59" t="s">
        <v>21</v>
      </c>
      <c r="F14" s="60" t="s">
        <v>21</v>
      </c>
      <c r="I14"/>
      <c r="J14" s="215" t="s">
        <v>482</v>
      </c>
      <c r="K14" s="215" t="s">
        <v>245</v>
      </c>
      <c r="L14" s="204">
        <f>'Check fractions'!D27</f>
        <v>0.9</v>
      </c>
      <c r="M14" s="193" t="s">
        <v>21</v>
      </c>
      <c r="N14" s="192" t="s">
        <v>21</v>
      </c>
    </row>
    <row r="15" spans="1:16" ht="18.75" thickBot="1" x14ac:dyDescent="0.3">
      <c r="C15" s="51"/>
      <c r="D15" s="52"/>
      <c r="E15" s="52"/>
      <c r="F15" s="52"/>
      <c r="I15"/>
      <c r="J15" s="215" t="s">
        <v>483</v>
      </c>
      <c r="K15" s="215" t="s">
        <v>246</v>
      </c>
      <c r="L15" s="204">
        <f>'Check fractions'!D28</f>
        <v>0.6</v>
      </c>
      <c r="M15" s="193" t="s">
        <v>21</v>
      </c>
      <c r="N15" s="192" t="s">
        <v>21</v>
      </c>
    </row>
    <row r="16" spans="1:16" ht="18.75" thickBot="1" x14ac:dyDescent="0.3">
      <c r="C16" s="339" t="s">
        <v>22</v>
      </c>
      <c r="D16" s="52"/>
      <c r="E16" s="52"/>
      <c r="F16" s="52"/>
      <c r="I16"/>
      <c r="J16" s="200" t="s">
        <v>484</v>
      </c>
      <c r="K16" s="200" t="s">
        <v>247</v>
      </c>
      <c r="L16" s="201">
        <f>'Check fractions'!D29</f>
        <v>0.5</v>
      </c>
      <c r="M16" s="205" t="s">
        <v>21</v>
      </c>
      <c r="N16" s="206" t="s">
        <v>21</v>
      </c>
    </row>
    <row r="17" spans="2:10" ht="15.75" thickBot="1" x14ac:dyDescent="0.3">
      <c r="B17" s="164" t="s">
        <v>419</v>
      </c>
      <c r="C17" s="164" t="s">
        <v>0</v>
      </c>
      <c r="D17" s="165" t="s">
        <v>39</v>
      </c>
      <c r="E17" s="165" t="s">
        <v>71</v>
      </c>
      <c r="F17" s="166" t="s">
        <v>70</v>
      </c>
      <c r="J17" s="401"/>
    </row>
    <row r="18" spans="2:10" ht="18" x14ac:dyDescent="0.25">
      <c r="B18" s="194" t="s">
        <v>424</v>
      </c>
      <c r="C18" s="194" t="s">
        <v>271</v>
      </c>
      <c r="D18" s="122">
        <f>Data!G4</f>
        <v>73</v>
      </c>
      <c r="E18" s="137" t="s">
        <v>114</v>
      </c>
      <c r="F18" s="138" t="s">
        <v>114</v>
      </c>
    </row>
    <row r="19" spans="2:10" ht="19.5" customHeight="1" x14ac:dyDescent="0.25">
      <c r="B19" s="215" t="s">
        <v>425</v>
      </c>
      <c r="C19" s="215" t="s">
        <v>248</v>
      </c>
      <c r="D19" s="49">
        <f>Data!G15</f>
        <v>34.198350432508548</v>
      </c>
      <c r="E19" s="61" t="s">
        <v>114</v>
      </c>
      <c r="F19" s="62" t="s">
        <v>114</v>
      </c>
    </row>
    <row r="20" spans="2:10" ht="19.5" customHeight="1" x14ac:dyDescent="0.25">
      <c r="B20" s="215" t="s">
        <v>426</v>
      </c>
      <c r="C20" s="215" t="s">
        <v>249</v>
      </c>
      <c r="D20" s="49">
        <f>Data!G16</f>
        <v>20.51901025950513</v>
      </c>
      <c r="E20" s="61" t="s">
        <v>114</v>
      </c>
      <c r="F20" s="62" t="s">
        <v>114</v>
      </c>
    </row>
    <row r="21" spans="2:10" ht="19.5" customHeight="1" x14ac:dyDescent="0.25">
      <c r="B21" s="215" t="s">
        <v>427</v>
      </c>
      <c r="C21" s="215" t="s">
        <v>250</v>
      </c>
      <c r="D21" s="49">
        <f>Data!G22</f>
        <v>11.76470588235294</v>
      </c>
      <c r="E21" s="61" t="s">
        <v>114</v>
      </c>
      <c r="F21" s="62" t="s">
        <v>114</v>
      </c>
    </row>
    <row r="22" spans="2:10" ht="19.5" customHeight="1" x14ac:dyDescent="0.25">
      <c r="B22" s="215" t="s">
        <v>428</v>
      </c>
      <c r="C22" s="215" t="s">
        <v>251</v>
      </c>
      <c r="D22" s="49">
        <f>Data!G17</f>
        <v>16.470588235294116</v>
      </c>
      <c r="E22" s="61" t="s">
        <v>114</v>
      </c>
      <c r="F22" s="62" t="s">
        <v>114</v>
      </c>
    </row>
    <row r="23" spans="2:10" ht="19.5" customHeight="1" x14ac:dyDescent="0.25">
      <c r="B23" s="215" t="s">
        <v>429</v>
      </c>
      <c r="C23" s="215" t="s">
        <v>252</v>
      </c>
      <c r="D23" s="49">
        <f>'Check fractions'!D10</f>
        <v>14</v>
      </c>
      <c r="E23" s="61" t="s">
        <v>114</v>
      </c>
      <c r="F23" s="62" t="s">
        <v>114</v>
      </c>
    </row>
    <row r="24" spans="2:10" ht="19.5" customHeight="1" x14ac:dyDescent="0.25">
      <c r="B24" s="215" t="s">
        <v>430</v>
      </c>
      <c r="C24" s="215" t="s">
        <v>377</v>
      </c>
      <c r="D24" s="49">
        <f>'Check fractions'!D11</f>
        <v>5</v>
      </c>
      <c r="E24" s="61" t="s">
        <v>114</v>
      </c>
      <c r="F24" s="62" t="s">
        <v>114</v>
      </c>
    </row>
    <row r="25" spans="2:10" ht="19.5" customHeight="1" x14ac:dyDescent="0.25">
      <c r="B25" s="215" t="s">
        <v>431</v>
      </c>
      <c r="C25" s="215" t="s">
        <v>316</v>
      </c>
      <c r="D25" s="49">
        <f>'Check fractions'!D12</f>
        <v>20</v>
      </c>
      <c r="E25" s="61" t="s">
        <v>114</v>
      </c>
      <c r="F25" s="62" t="s">
        <v>114</v>
      </c>
    </row>
    <row r="26" spans="2:10" ht="19.5" customHeight="1" x14ac:dyDescent="0.25">
      <c r="B26" s="215" t="s">
        <v>432</v>
      </c>
      <c r="C26" s="215" t="s">
        <v>254</v>
      </c>
      <c r="D26" s="49">
        <f>'Check fractions'!D13</f>
        <v>20</v>
      </c>
      <c r="E26" s="61" t="s">
        <v>114</v>
      </c>
      <c r="F26" s="62" t="s">
        <v>114</v>
      </c>
    </row>
    <row r="27" spans="2:10" ht="19.5" customHeight="1" x14ac:dyDescent="0.25">
      <c r="B27" s="215" t="s">
        <v>433</v>
      </c>
      <c r="C27" s="215" t="s">
        <v>272</v>
      </c>
      <c r="D27" s="49">
        <f>Data!G23</f>
        <v>73</v>
      </c>
      <c r="E27" s="61" t="s">
        <v>114</v>
      </c>
      <c r="F27" s="62" t="s">
        <v>114</v>
      </c>
    </row>
    <row r="28" spans="2:10" ht="19.5" customHeight="1" x14ac:dyDescent="0.25">
      <c r="B28" s="215" t="s">
        <v>434</v>
      </c>
      <c r="C28" s="215" t="s">
        <v>273</v>
      </c>
      <c r="D28" s="49">
        <f>Data!G24</f>
        <v>53</v>
      </c>
      <c r="E28" s="61" t="s">
        <v>114</v>
      </c>
      <c r="F28" s="62" t="s">
        <v>114</v>
      </c>
    </row>
    <row r="29" spans="2:10" ht="19.5" customHeight="1" x14ac:dyDescent="0.25">
      <c r="B29" s="215" t="s">
        <v>435</v>
      </c>
      <c r="C29" s="215" t="s">
        <v>255</v>
      </c>
      <c r="D29" s="49">
        <f>'Check fractions'!D14</f>
        <v>4</v>
      </c>
      <c r="E29" s="61" t="s">
        <v>114</v>
      </c>
      <c r="F29" s="62" t="s">
        <v>114</v>
      </c>
      <c r="H29" s="53"/>
      <c r="I29" s="53"/>
    </row>
    <row r="30" spans="2:10" ht="19.5" customHeight="1" x14ac:dyDescent="0.25">
      <c r="B30" s="215" t="s">
        <v>436</v>
      </c>
      <c r="C30" s="215" t="s">
        <v>256</v>
      </c>
      <c r="D30" s="49">
        <f>'Check fractions'!D15</f>
        <v>1</v>
      </c>
      <c r="E30" s="61" t="s">
        <v>114</v>
      </c>
      <c r="F30" s="62" t="s">
        <v>114</v>
      </c>
      <c r="J30" s="53"/>
    </row>
    <row r="31" spans="2:10" ht="19.5" customHeight="1" x14ac:dyDescent="0.25">
      <c r="B31" s="215" t="s">
        <v>437</v>
      </c>
      <c r="C31" s="215" t="s">
        <v>257</v>
      </c>
      <c r="D31" s="49">
        <f>'Check fractions'!D16</f>
        <v>1</v>
      </c>
      <c r="E31" s="61" t="s">
        <v>114</v>
      </c>
      <c r="F31" s="62" t="s">
        <v>114</v>
      </c>
    </row>
    <row r="32" spans="2:10" ht="19.5" customHeight="1" thickBot="1" x14ac:dyDescent="0.3">
      <c r="B32" s="207" t="s">
        <v>438</v>
      </c>
      <c r="C32" s="207" t="s">
        <v>258</v>
      </c>
      <c r="D32" s="50">
        <f>'Check fractions'!D17</f>
        <v>0.1</v>
      </c>
      <c r="E32" s="59" t="s">
        <v>114</v>
      </c>
      <c r="F32" s="139" t="s">
        <v>114</v>
      </c>
    </row>
    <row r="33" spans="2:8" ht="19.5" customHeight="1" thickBot="1" x14ac:dyDescent="0.3"/>
    <row r="34" spans="2:8" ht="19.5" customHeight="1" thickBot="1" x14ac:dyDescent="0.3">
      <c r="C34" s="340" t="s">
        <v>182</v>
      </c>
      <c r="D34" s="52"/>
      <c r="E34" s="52"/>
      <c r="F34" s="52"/>
      <c r="H34" s="334"/>
    </row>
    <row r="35" spans="2:8" ht="19.5" customHeight="1" thickBot="1" x14ac:dyDescent="0.3">
      <c r="B35" s="164" t="s">
        <v>419</v>
      </c>
      <c r="C35" s="330" t="s">
        <v>0</v>
      </c>
      <c r="D35" s="157" t="s">
        <v>39</v>
      </c>
      <c r="E35" s="157" t="s">
        <v>71</v>
      </c>
      <c r="F35" s="158" t="s">
        <v>70</v>
      </c>
      <c r="H35" s="334"/>
    </row>
    <row r="36" spans="2:8" ht="19.5" customHeight="1" x14ac:dyDescent="0.25">
      <c r="B36" s="75" t="s">
        <v>439</v>
      </c>
      <c r="C36" s="75" t="s">
        <v>127</v>
      </c>
      <c r="D36" s="122">
        <f>Data!C26</f>
        <v>150</v>
      </c>
      <c r="E36" s="342" t="s">
        <v>177</v>
      </c>
      <c r="F36" s="343" t="s">
        <v>189</v>
      </c>
      <c r="H36" s="334"/>
    </row>
    <row r="37" spans="2:8" ht="19.5" customHeight="1" x14ac:dyDescent="0.25">
      <c r="B37" s="54" t="s">
        <v>440</v>
      </c>
      <c r="C37" s="54" t="s">
        <v>11</v>
      </c>
      <c r="D37" s="49">
        <f>Data!C27</f>
        <v>15</v>
      </c>
      <c r="E37" s="344" t="s">
        <v>179</v>
      </c>
      <c r="F37" s="345" t="s">
        <v>190</v>
      </c>
      <c r="H37" s="334"/>
    </row>
    <row r="38" spans="2:8" ht="19.5" customHeight="1" x14ac:dyDescent="0.25">
      <c r="B38" s="130" t="s">
        <v>441</v>
      </c>
      <c r="C38" s="130" t="s">
        <v>187</v>
      </c>
      <c r="D38" s="49">
        <f>Data!C28</f>
        <v>16</v>
      </c>
      <c r="E38" s="344" t="s">
        <v>188</v>
      </c>
      <c r="F38" s="345" t="s">
        <v>190</v>
      </c>
      <c r="H38" s="334"/>
    </row>
    <row r="39" spans="2:8" ht="19.5" customHeight="1" x14ac:dyDescent="0.25">
      <c r="B39" s="130" t="s">
        <v>442</v>
      </c>
      <c r="C39" s="130" t="s">
        <v>395</v>
      </c>
      <c r="D39" s="49">
        <f>Data!C29</f>
        <v>300</v>
      </c>
      <c r="E39" s="344" t="s">
        <v>178</v>
      </c>
      <c r="F39" s="345" t="s">
        <v>191</v>
      </c>
      <c r="H39" s="334"/>
    </row>
    <row r="40" spans="2:8" ht="19.5" customHeight="1" thickBot="1" x14ac:dyDescent="0.3">
      <c r="B40" s="58" t="s">
        <v>443</v>
      </c>
      <c r="C40" s="58" t="s">
        <v>387</v>
      </c>
      <c r="D40" s="50">
        <f>Data!C30</f>
        <v>110</v>
      </c>
      <c r="E40" s="346" t="s">
        <v>192</v>
      </c>
      <c r="F40" s="347" t="s">
        <v>193</v>
      </c>
      <c r="H40" s="334"/>
    </row>
    <row r="41" spans="2:8" ht="19.5" customHeight="1" thickBot="1" x14ac:dyDescent="0.3">
      <c r="C41" s="63"/>
      <c r="D41" s="64"/>
      <c r="E41" s="64"/>
      <c r="F41" s="64"/>
      <c r="H41" s="334"/>
    </row>
    <row r="42" spans="2:8" ht="19.5" customHeight="1" thickBot="1" x14ac:dyDescent="0.3">
      <c r="C42" s="340" t="s">
        <v>157</v>
      </c>
      <c r="D42" s="52"/>
      <c r="E42" s="52"/>
      <c r="F42" s="52"/>
      <c r="H42" s="334"/>
    </row>
    <row r="43" spans="2:8" ht="19.5" customHeight="1" thickBot="1" x14ac:dyDescent="0.3">
      <c r="B43" s="164" t="s">
        <v>419</v>
      </c>
      <c r="C43" s="341" t="s">
        <v>0</v>
      </c>
      <c r="D43" s="165" t="s">
        <v>39</v>
      </c>
      <c r="E43" s="165" t="s">
        <v>71</v>
      </c>
      <c r="F43" s="166" t="s">
        <v>70</v>
      </c>
      <c r="H43" s="334"/>
    </row>
    <row r="44" spans="2:8" ht="19.5" customHeight="1" x14ac:dyDescent="0.25">
      <c r="B44" s="131" t="s">
        <v>444</v>
      </c>
      <c r="C44" s="131" t="s">
        <v>274</v>
      </c>
      <c r="D44" s="140">
        <v>0</v>
      </c>
      <c r="E44" s="133" t="s">
        <v>159</v>
      </c>
      <c r="F44" s="134" t="s">
        <v>160</v>
      </c>
      <c r="H44" s="334"/>
    </row>
    <row r="45" spans="2:8" ht="19.5" customHeight="1" x14ac:dyDescent="0.25">
      <c r="B45" s="31" t="s">
        <v>445</v>
      </c>
      <c r="C45" s="31" t="s">
        <v>275</v>
      </c>
      <c r="D45" s="112">
        <v>0</v>
      </c>
      <c r="E45" s="57" t="s">
        <v>158</v>
      </c>
      <c r="F45" s="56" t="s">
        <v>72</v>
      </c>
      <c r="H45" s="334"/>
    </row>
    <row r="46" spans="2:8" ht="19.5" customHeight="1" x14ac:dyDescent="0.25">
      <c r="B46" s="54" t="s">
        <v>446</v>
      </c>
      <c r="C46" s="54" t="s">
        <v>276</v>
      </c>
      <c r="D46" s="112">
        <v>0.1</v>
      </c>
      <c r="E46" s="57" t="s">
        <v>158</v>
      </c>
      <c r="F46" s="56" t="s">
        <v>72</v>
      </c>
      <c r="H46" s="334"/>
    </row>
    <row r="47" spans="2:8" ht="19.5" customHeight="1" x14ac:dyDescent="0.25">
      <c r="B47" s="31" t="s">
        <v>447</v>
      </c>
      <c r="C47" s="31" t="s">
        <v>296</v>
      </c>
      <c r="D47" s="112">
        <v>0.1</v>
      </c>
      <c r="E47" s="57" t="s">
        <v>158</v>
      </c>
      <c r="F47" s="56" t="s">
        <v>72</v>
      </c>
      <c r="H47" s="334"/>
    </row>
    <row r="48" spans="2:8" ht="19.5" customHeight="1" x14ac:dyDescent="0.25">
      <c r="B48" s="31" t="s">
        <v>448</v>
      </c>
      <c r="C48" s="31" t="s">
        <v>277</v>
      </c>
      <c r="D48" s="112">
        <v>0</v>
      </c>
      <c r="E48" s="57" t="s">
        <v>158</v>
      </c>
      <c r="F48" s="56" t="s">
        <v>72</v>
      </c>
      <c r="H48" s="334"/>
    </row>
    <row r="49" spans="2:6" ht="19.5" customHeight="1" x14ac:dyDescent="0.25">
      <c r="B49" s="31" t="s">
        <v>449</v>
      </c>
      <c r="C49" s="31" t="s">
        <v>378</v>
      </c>
      <c r="D49" s="112">
        <v>0.1</v>
      </c>
      <c r="E49" s="57" t="s">
        <v>158</v>
      </c>
      <c r="F49" s="56" t="s">
        <v>72</v>
      </c>
    </row>
    <row r="50" spans="2:6" ht="19.5" customHeight="1" x14ac:dyDescent="0.25">
      <c r="B50" s="31" t="s">
        <v>450</v>
      </c>
      <c r="C50" s="31" t="s">
        <v>278</v>
      </c>
      <c r="D50" s="112">
        <v>0.1</v>
      </c>
      <c r="E50" s="57" t="s">
        <v>158</v>
      </c>
      <c r="F50" s="56" t="s">
        <v>72</v>
      </c>
    </row>
    <row r="51" spans="2:6" ht="19.5" customHeight="1" x14ac:dyDescent="0.25">
      <c r="B51" s="31" t="s">
        <v>451</v>
      </c>
      <c r="C51" s="31" t="s">
        <v>279</v>
      </c>
      <c r="D51" s="112">
        <v>0.1</v>
      </c>
      <c r="E51" s="57" t="s">
        <v>158</v>
      </c>
      <c r="F51" s="56" t="s">
        <v>72</v>
      </c>
    </row>
    <row r="52" spans="2:6" ht="19.5" customHeight="1" x14ac:dyDescent="0.25">
      <c r="B52" s="31" t="s">
        <v>452</v>
      </c>
      <c r="C52" s="31" t="s">
        <v>280</v>
      </c>
      <c r="D52" s="112">
        <v>0.1</v>
      </c>
      <c r="E52" s="57" t="s">
        <v>158</v>
      </c>
      <c r="F52" s="56" t="s">
        <v>72</v>
      </c>
    </row>
    <row r="53" spans="2:6" ht="19.5" customHeight="1" x14ac:dyDescent="0.25">
      <c r="B53" s="31" t="s">
        <v>453</v>
      </c>
      <c r="C53" s="31" t="s">
        <v>281</v>
      </c>
      <c r="D53" s="112">
        <v>0.1</v>
      </c>
      <c r="E53" s="57" t="s">
        <v>158</v>
      </c>
      <c r="F53" s="56" t="s">
        <v>72</v>
      </c>
    </row>
    <row r="54" spans="2:6" ht="19.5" customHeight="1" x14ac:dyDescent="0.25">
      <c r="B54" s="31" t="s">
        <v>454</v>
      </c>
      <c r="C54" s="31" t="s">
        <v>282</v>
      </c>
      <c r="D54" s="49">
        <f>Data!C25</f>
        <v>0</v>
      </c>
      <c r="E54" s="57" t="s">
        <v>161</v>
      </c>
      <c r="F54" s="56" t="s">
        <v>162</v>
      </c>
    </row>
    <row r="55" spans="2:6" ht="19.5" customHeight="1" x14ac:dyDescent="0.25">
      <c r="B55" s="54" t="s">
        <v>455</v>
      </c>
      <c r="C55" s="54" t="s">
        <v>283</v>
      </c>
      <c r="D55" s="112">
        <v>16</v>
      </c>
      <c r="E55" s="57" t="s">
        <v>161</v>
      </c>
      <c r="F55" s="56" t="s">
        <v>162</v>
      </c>
    </row>
    <row r="56" spans="2:6" ht="19.5" customHeight="1" x14ac:dyDescent="0.25">
      <c r="B56" s="31" t="s">
        <v>456</v>
      </c>
      <c r="C56" s="31" t="s">
        <v>284</v>
      </c>
      <c r="D56" s="112">
        <v>0.1</v>
      </c>
      <c r="E56" s="57" t="s">
        <v>164</v>
      </c>
      <c r="F56" s="56" t="s">
        <v>163</v>
      </c>
    </row>
    <row r="57" spans="2:6" ht="19.5" customHeight="1" x14ac:dyDescent="0.25">
      <c r="B57" s="31" t="s">
        <v>457</v>
      </c>
      <c r="C57" s="31" t="s">
        <v>285</v>
      </c>
      <c r="D57" s="112">
        <v>0</v>
      </c>
      <c r="E57" s="57" t="s">
        <v>158</v>
      </c>
      <c r="F57" s="56" t="s">
        <v>72</v>
      </c>
    </row>
    <row r="58" spans="2:6" ht="19.5" customHeight="1" x14ac:dyDescent="0.25">
      <c r="B58" s="31" t="s">
        <v>458</v>
      </c>
      <c r="C58" s="31" t="s">
        <v>286</v>
      </c>
      <c r="D58" s="112">
        <v>0</v>
      </c>
      <c r="E58" s="57" t="s">
        <v>158</v>
      </c>
      <c r="F58" s="56" t="s">
        <v>72</v>
      </c>
    </row>
    <row r="59" spans="2:6" ht="19.5" customHeight="1" x14ac:dyDescent="0.25">
      <c r="B59" s="65" t="s">
        <v>459</v>
      </c>
      <c r="C59" s="65" t="s">
        <v>287</v>
      </c>
      <c r="D59" s="112">
        <v>0</v>
      </c>
      <c r="E59" s="57" t="s">
        <v>169</v>
      </c>
      <c r="F59" s="56" t="s">
        <v>168</v>
      </c>
    </row>
    <row r="60" spans="2:6" ht="19.5" customHeight="1" x14ac:dyDescent="0.25">
      <c r="B60" s="65" t="s">
        <v>460</v>
      </c>
      <c r="C60" s="65" t="s">
        <v>288</v>
      </c>
      <c r="D60" s="112">
        <v>0</v>
      </c>
      <c r="E60" s="57" t="s">
        <v>169</v>
      </c>
      <c r="F60" s="56" t="s">
        <v>168</v>
      </c>
    </row>
    <row r="61" spans="2:6" ht="19.5" customHeight="1" x14ac:dyDescent="0.25">
      <c r="B61" s="65" t="s">
        <v>461</v>
      </c>
      <c r="C61" s="65" t="s">
        <v>388</v>
      </c>
      <c r="D61" s="112">
        <v>0</v>
      </c>
      <c r="E61" s="57" t="s">
        <v>314</v>
      </c>
      <c r="F61" s="56" t="s">
        <v>315</v>
      </c>
    </row>
    <row r="62" spans="2:6" ht="19.5" customHeight="1" x14ac:dyDescent="0.25">
      <c r="B62" s="65" t="s">
        <v>462</v>
      </c>
      <c r="C62" s="65" t="s">
        <v>289</v>
      </c>
      <c r="D62" s="308">
        <v>0.01</v>
      </c>
      <c r="E62" s="57" t="s">
        <v>169</v>
      </c>
      <c r="F62" s="56" t="s">
        <v>168</v>
      </c>
    </row>
    <row r="63" spans="2:6" ht="19.5" customHeight="1" x14ac:dyDescent="0.25">
      <c r="B63" s="65" t="s">
        <v>463</v>
      </c>
      <c r="C63" s="65" t="s">
        <v>290</v>
      </c>
      <c r="D63" s="112">
        <v>0</v>
      </c>
      <c r="E63" s="57" t="s">
        <v>169</v>
      </c>
      <c r="F63" s="56" t="s">
        <v>168</v>
      </c>
    </row>
    <row r="64" spans="2:6" ht="19.5" customHeight="1" x14ac:dyDescent="0.25">
      <c r="B64" s="65" t="s">
        <v>464</v>
      </c>
      <c r="C64" s="65" t="s">
        <v>291</v>
      </c>
      <c r="D64" s="112">
        <v>0</v>
      </c>
      <c r="E64" s="57" t="s">
        <v>169</v>
      </c>
      <c r="F64" s="56" t="s">
        <v>168</v>
      </c>
    </row>
    <row r="65" spans="2:6" ht="19.5" customHeight="1" x14ac:dyDescent="0.25">
      <c r="B65" s="54" t="s">
        <v>465</v>
      </c>
      <c r="C65" s="54" t="s">
        <v>485</v>
      </c>
      <c r="D65" s="112">
        <v>0</v>
      </c>
      <c r="E65" s="57" t="s">
        <v>169</v>
      </c>
      <c r="F65" s="56" t="s">
        <v>168</v>
      </c>
    </row>
    <row r="66" spans="2:6" ht="19.5" customHeight="1" x14ac:dyDescent="0.25">
      <c r="B66" s="54" t="s">
        <v>466</v>
      </c>
      <c r="C66" s="54" t="s">
        <v>486</v>
      </c>
      <c r="D66" s="112">
        <v>0</v>
      </c>
      <c r="E66" s="57" t="s">
        <v>169</v>
      </c>
      <c r="F66" s="56" t="s">
        <v>168</v>
      </c>
    </row>
    <row r="67" spans="2:6" ht="19.5" customHeight="1" x14ac:dyDescent="0.25">
      <c r="B67" s="54" t="s">
        <v>467</v>
      </c>
      <c r="C67" s="54" t="s">
        <v>389</v>
      </c>
      <c r="D67" s="308">
        <v>0.01</v>
      </c>
      <c r="E67" s="57" t="s">
        <v>314</v>
      </c>
      <c r="F67" s="56" t="s">
        <v>315</v>
      </c>
    </row>
    <row r="68" spans="2:6" ht="19.5" customHeight="1" x14ac:dyDescent="0.25">
      <c r="B68" s="54" t="s">
        <v>468</v>
      </c>
      <c r="C68" s="54" t="s">
        <v>390</v>
      </c>
      <c r="D68" s="112">
        <v>0</v>
      </c>
      <c r="E68" s="57" t="s">
        <v>314</v>
      </c>
      <c r="F68" s="56" t="s">
        <v>315</v>
      </c>
    </row>
    <row r="69" spans="2:6" ht="19.5" customHeight="1" x14ac:dyDescent="0.25">
      <c r="B69" s="54" t="s">
        <v>469</v>
      </c>
      <c r="C69" s="54" t="s">
        <v>391</v>
      </c>
      <c r="D69" s="112">
        <v>0</v>
      </c>
      <c r="E69" s="57" t="s">
        <v>314</v>
      </c>
      <c r="F69" s="56" t="s">
        <v>315</v>
      </c>
    </row>
    <row r="70" spans="2:6" ht="19.5" customHeight="1" x14ac:dyDescent="0.25">
      <c r="B70" s="54" t="s">
        <v>470</v>
      </c>
      <c r="C70" s="54" t="s">
        <v>392</v>
      </c>
      <c r="D70" s="112">
        <v>0</v>
      </c>
      <c r="E70" s="57" t="s">
        <v>314</v>
      </c>
      <c r="F70" s="56" t="s">
        <v>315</v>
      </c>
    </row>
    <row r="71" spans="2:6" ht="19.5" customHeight="1" x14ac:dyDescent="0.25">
      <c r="B71" s="54" t="s">
        <v>471</v>
      </c>
      <c r="C71" s="54" t="s">
        <v>393</v>
      </c>
      <c r="D71" s="112">
        <v>0</v>
      </c>
      <c r="E71" s="57" t="s">
        <v>314</v>
      </c>
      <c r="F71" s="56" t="s">
        <v>315</v>
      </c>
    </row>
    <row r="72" spans="2:6" ht="19.5" customHeight="1" x14ac:dyDescent="0.25">
      <c r="B72" s="402" t="s">
        <v>472</v>
      </c>
      <c r="C72" s="125" t="s">
        <v>292</v>
      </c>
      <c r="D72" s="112">
        <v>0</v>
      </c>
      <c r="E72" s="57" t="s">
        <v>156</v>
      </c>
      <c r="F72" s="56" t="s">
        <v>153</v>
      </c>
    </row>
    <row r="73" spans="2:6" ht="19.5" customHeight="1" x14ac:dyDescent="0.25">
      <c r="B73" s="54" t="s">
        <v>473</v>
      </c>
      <c r="C73" s="54" t="s">
        <v>293</v>
      </c>
      <c r="D73" s="112">
        <v>0</v>
      </c>
      <c r="E73" s="57" t="s">
        <v>156</v>
      </c>
      <c r="F73" s="56" t="s">
        <v>153</v>
      </c>
    </row>
    <row r="74" spans="2:6" ht="19.5" customHeight="1" x14ac:dyDescent="0.25">
      <c r="B74" s="54" t="s">
        <v>474</v>
      </c>
      <c r="C74" s="54" t="s">
        <v>394</v>
      </c>
      <c r="D74" s="112">
        <v>0</v>
      </c>
      <c r="E74" s="57" t="s">
        <v>156</v>
      </c>
      <c r="F74" s="56" t="s">
        <v>153</v>
      </c>
    </row>
    <row r="75" spans="2:6" ht="19.5" customHeight="1" x14ac:dyDescent="0.25">
      <c r="B75" s="402" t="s">
        <v>475</v>
      </c>
      <c r="C75" s="125" t="s">
        <v>294</v>
      </c>
      <c r="D75" s="112">
        <v>0</v>
      </c>
      <c r="E75" s="57" t="s">
        <v>156</v>
      </c>
      <c r="F75" s="56" t="s">
        <v>153</v>
      </c>
    </row>
    <row r="76" spans="2:6" ht="19.5" customHeight="1" thickBot="1" x14ac:dyDescent="0.3">
      <c r="B76" s="58" t="s">
        <v>476</v>
      </c>
      <c r="C76" s="58" t="s">
        <v>295</v>
      </c>
      <c r="D76" s="113">
        <v>0</v>
      </c>
      <c r="E76" s="66" t="s">
        <v>156</v>
      </c>
      <c r="F76" s="60" t="s">
        <v>153</v>
      </c>
    </row>
    <row r="77" spans="2:6" ht="19.5" customHeight="1" x14ac:dyDescent="0.25">
      <c r="C77" s="51"/>
      <c r="D77" s="52"/>
      <c r="E77" s="52"/>
      <c r="F77" s="52"/>
    </row>
    <row r="78" spans="2:6" ht="19.5" customHeight="1" x14ac:dyDescent="0.25">
      <c r="B78" s="53"/>
      <c r="C78" s="51"/>
      <c r="D78" s="52"/>
      <c r="E78" s="52"/>
      <c r="F78" s="52"/>
    </row>
    <row r="79" spans="2:6" ht="19.5" customHeight="1" x14ac:dyDescent="0.25">
      <c r="B79"/>
      <c r="C79" s="51"/>
      <c r="D79" s="52"/>
      <c r="E79" s="52"/>
      <c r="F79" s="52"/>
    </row>
    <row r="80" spans="2:6" ht="19.5" customHeight="1" x14ac:dyDescent="0.25">
      <c r="B80"/>
      <c r="D80" s="52"/>
      <c r="E80" s="52"/>
      <c r="F80" s="52"/>
    </row>
    <row r="81" spans="4:6" ht="19.5" customHeight="1" x14ac:dyDescent="0.25">
      <c r="D81" s="52"/>
      <c r="E81" s="52"/>
      <c r="F81" s="52"/>
    </row>
    <row r="82" spans="4:6" ht="19.5" customHeight="1" x14ac:dyDescent="0.25">
      <c r="D82" s="52"/>
      <c r="E82" s="52"/>
      <c r="F82" s="52"/>
    </row>
    <row r="83" spans="4:6" ht="19.5" customHeight="1" x14ac:dyDescent="0.25">
      <c r="D83" s="52"/>
      <c r="E83" s="52"/>
      <c r="F83" s="52"/>
    </row>
    <row r="84" spans="4:6" ht="19.5" customHeight="1" x14ac:dyDescent="0.25">
      <c r="D84" s="52"/>
      <c r="E84" s="52"/>
      <c r="F84" s="52"/>
    </row>
    <row r="85" spans="4:6" ht="19.5" customHeight="1" x14ac:dyDescent="0.25">
      <c r="D85" s="52"/>
      <c r="E85" s="52"/>
      <c r="F85" s="52"/>
    </row>
    <row r="86" spans="4:6" ht="19.5" customHeight="1" x14ac:dyDescent="0.25">
      <c r="D86" s="52"/>
      <c r="E86" s="52"/>
      <c r="F86" s="52"/>
    </row>
    <row r="87" spans="4:6" ht="19.5" customHeight="1" x14ac:dyDescent="0.25">
      <c r="D87" s="52"/>
      <c r="E87" s="52"/>
      <c r="F87" s="52"/>
    </row>
    <row r="88" spans="4:6" ht="19.5" customHeight="1" x14ac:dyDescent="0.25"/>
    <row r="89" spans="4:6" ht="19.5" customHeight="1" x14ac:dyDescent="0.25"/>
    <row r="90" spans="4:6" ht="19.5" customHeight="1" x14ac:dyDescent="0.25"/>
    <row r="91" spans="4:6" ht="19.5" customHeight="1" x14ac:dyDescent="0.25"/>
    <row r="92" spans="4:6" ht="19.5" customHeight="1" x14ac:dyDescent="0.25"/>
    <row r="93" spans="4:6" ht="19.5" customHeight="1" x14ac:dyDescent="0.25"/>
  </sheetData>
  <sheetProtection selectLockedCells="1"/>
  <mergeCells count="2">
    <mergeCell ref="A2:F2"/>
    <mergeCell ref="I2:N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58"/>
  <sheetViews>
    <sheetView topLeftCell="C30" zoomScale="85" zoomScaleNormal="85" workbookViewId="0">
      <selection activeCell="H58" sqref="H58"/>
    </sheetView>
  </sheetViews>
  <sheetFormatPr defaultColWidth="9.140625" defaultRowHeight="15" x14ac:dyDescent="0.25"/>
  <cols>
    <col min="1" max="1" width="8.28515625" style="272" customWidth="1"/>
    <col min="2" max="2" width="12.140625" style="272" customWidth="1"/>
    <col min="3" max="3" width="10.5703125" style="272" customWidth="1"/>
    <col min="4" max="4" width="12.42578125" style="272" customWidth="1"/>
    <col min="5" max="5" width="9.5703125" style="272" customWidth="1"/>
    <col min="6" max="6" width="10.7109375" style="272" customWidth="1"/>
    <col min="7" max="7" width="11.28515625" style="272" customWidth="1"/>
    <col min="8" max="8" width="14.85546875" style="272" customWidth="1"/>
    <col min="9" max="9" width="16.28515625" style="272" customWidth="1"/>
    <col min="10" max="10" width="16.140625" style="272" customWidth="1"/>
    <col min="11" max="11" width="11.7109375" style="272" customWidth="1"/>
    <col min="12" max="12" width="10.28515625" style="272" customWidth="1"/>
    <col min="13" max="13" width="15" style="272" customWidth="1"/>
    <col min="14" max="14" width="9.140625" style="272"/>
    <col min="15" max="15" width="12.85546875" style="272" customWidth="1"/>
    <col min="16" max="16" width="11.28515625" style="272" customWidth="1"/>
    <col min="17" max="17" width="9.140625" style="272"/>
    <col min="18" max="18" width="12.5703125" style="272" customWidth="1"/>
    <col min="19" max="21" width="9.140625" style="272"/>
    <col min="22" max="22" width="9" style="272" customWidth="1"/>
    <col min="23" max="23" width="11" style="272" customWidth="1"/>
    <col min="24" max="24" width="16" style="272" customWidth="1"/>
    <col min="25" max="25" width="14.7109375" style="272" customWidth="1"/>
    <col min="26" max="26" width="9.140625" style="272"/>
    <col min="27" max="27" width="9.42578125" style="272" customWidth="1"/>
    <col min="28" max="28" width="9.140625" style="272"/>
    <col min="29" max="29" width="15.42578125" style="272" customWidth="1"/>
    <col min="30" max="16384" width="9.140625" style="272"/>
  </cols>
  <sheetData>
    <row r="1" spans="3:28" ht="16.5" customHeight="1" thickTop="1" thickBot="1" x14ac:dyDescent="0.3">
      <c r="C1" s="315" t="s">
        <v>114</v>
      </c>
      <c r="D1" s="430" t="s">
        <v>346</v>
      </c>
      <c r="E1" s="431"/>
      <c r="F1" s="431"/>
      <c r="G1" s="432"/>
    </row>
    <row r="2" spans="3:28" ht="16.5" customHeight="1" thickTop="1" thickBot="1" x14ac:dyDescent="0.3">
      <c r="C2" s="316" t="s">
        <v>114</v>
      </c>
      <c r="D2" s="433" t="s">
        <v>347</v>
      </c>
      <c r="E2" s="434"/>
      <c r="F2" s="434"/>
      <c r="G2" s="435"/>
    </row>
    <row r="3" spans="3:28" ht="16.5" thickTop="1" thickBot="1" x14ac:dyDescent="0.3"/>
    <row r="4" spans="3:28" ht="16.5" thickTop="1" thickBot="1" x14ac:dyDescent="0.3">
      <c r="H4" s="427" t="s">
        <v>343</v>
      </c>
      <c r="I4" s="428"/>
      <c r="J4" s="429"/>
      <c r="V4" s="464" t="s">
        <v>372</v>
      </c>
      <c r="W4" s="465"/>
      <c r="X4" s="466"/>
    </row>
    <row r="5" spans="3:28" ht="18.75" customHeight="1" thickTop="1" thickBot="1" x14ac:dyDescent="0.3">
      <c r="H5" s="441">
        <f>'Sumo forms'!D7</f>
        <v>497.1</v>
      </c>
      <c r="I5" s="442"/>
      <c r="J5" s="271" t="s">
        <v>72</v>
      </c>
      <c r="V5" s="467">
        <f>'Check fractions'!H7</f>
        <v>275.41104715278925</v>
      </c>
      <c r="W5" s="468"/>
      <c r="X5" s="296" t="s">
        <v>373</v>
      </c>
    </row>
    <row r="6" spans="3:28" ht="16.5" thickTop="1" thickBot="1" x14ac:dyDescent="0.3">
      <c r="H6" s="439">
        <v>100</v>
      </c>
      <c r="I6" s="440"/>
      <c r="J6" s="280" t="s">
        <v>114</v>
      </c>
      <c r="V6" s="469">
        <v>100</v>
      </c>
      <c r="W6" s="470"/>
      <c r="X6" s="297" t="s">
        <v>114</v>
      </c>
    </row>
    <row r="7" spans="3:28" ht="16.5" thickTop="1" thickBot="1" x14ac:dyDescent="0.3">
      <c r="H7" s="437">
        <v>100</v>
      </c>
      <c r="I7" s="438"/>
      <c r="J7" s="279" t="s">
        <v>114</v>
      </c>
      <c r="V7" s="471">
        <v>100</v>
      </c>
      <c r="W7" s="472"/>
      <c r="X7" s="299" t="s">
        <v>114</v>
      </c>
    </row>
    <row r="8" spans="3:28" ht="16.5" thickTop="1" thickBot="1" x14ac:dyDescent="0.3">
      <c r="I8" s="273"/>
      <c r="K8" s="269"/>
      <c r="V8" s="285"/>
      <c r="W8" s="284"/>
      <c r="X8" s="277"/>
      <c r="Y8" s="274"/>
    </row>
    <row r="9" spans="3:28" ht="16.5" thickTop="1" thickBot="1" x14ac:dyDescent="0.3">
      <c r="C9" s="445" t="s">
        <v>344</v>
      </c>
      <c r="D9" s="445"/>
      <c r="E9" s="445"/>
      <c r="F9" s="445"/>
      <c r="G9" s="354"/>
      <c r="H9" s="274"/>
      <c r="I9" s="275"/>
      <c r="J9" s="274"/>
      <c r="K9" s="445" t="s">
        <v>345</v>
      </c>
      <c r="L9" s="445"/>
      <c r="M9" s="445"/>
      <c r="U9" s="275"/>
      <c r="Y9" s="284"/>
    </row>
    <row r="10" spans="3:28" ht="15.75" customHeight="1" thickTop="1" thickBot="1" x14ac:dyDescent="0.3">
      <c r="C10" s="443">
        <f>Data!G14</f>
        <v>327.10000000000002</v>
      </c>
      <c r="D10" s="443"/>
      <c r="E10" s="443"/>
      <c r="F10" s="271" t="s">
        <v>72</v>
      </c>
      <c r="K10" s="443">
        <f>Data!C15</f>
        <v>170</v>
      </c>
      <c r="L10" s="443"/>
      <c r="M10" s="271" t="s">
        <v>72</v>
      </c>
      <c r="T10" s="473" t="s">
        <v>375</v>
      </c>
      <c r="U10" s="473"/>
      <c r="V10" s="473"/>
      <c r="W10" s="473"/>
      <c r="Y10" s="473" t="s">
        <v>374</v>
      </c>
      <c r="Z10" s="473"/>
      <c r="AA10" s="473"/>
      <c r="AB10" s="473"/>
    </row>
    <row r="11" spans="3:28" ht="19.5" customHeight="1" thickTop="1" thickBot="1" x14ac:dyDescent="0.3">
      <c r="C11" s="444">
        <f>100*C10/H5</f>
        <v>65.801649567491452</v>
      </c>
      <c r="D11" s="444"/>
      <c r="E11" s="444"/>
      <c r="F11" s="271" t="s">
        <v>114</v>
      </c>
      <c r="K11" s="444">
        <f>Data!G15</f>
        <v>34.198350432508548</v>
      </c>
      <c r="L11" s="444"/>
      <c r="M11" s="280" t="s">
        <v>114</v>
      </c>
      <c r="T11" s="474">
        <f>V5-Y11</f>
        <v>74.360982731253102</v>
      </c>
      <c r="U11" s="474"/>
      <c r="V11" s="474"/>
      <c r="W11" s="295" t="s">
        <v>373</v>
      </c>
      <c r="Y11" s="474">
        <f>'Check fractions'!H8</f>
        <v>201.05006442153615</v>
      </c>
      <c r="Z11" s="474"/>
      <c r="AA11" s="474"/>
      <c r="AB11" s="295" t="s">
        <v>373</v>
      </c>
    </row>
    <row r="12" spans="3:28" ht="16.5" thickTop="1" thickBot="1" x14ac:dyDescent="0.3">
      <c r="C12" s="436">
        <f>100*C11/H6</f>
        <v>65.801649567491452</v>
      </c>
      <c r="D12" s="436"/>
      <c r="E12" s="436"/>
      <c r="F12" s="271" t="s">
        <v>114</v>
      </c>
      <c r="K12" s="436">
        <f>Data!G15</f>
        <v>34.198350432508548</v>
      </c>
      <c r="L12" s="436"/>
      <c r="M12" s="279" t="s">
        <v>114</v>
      </c>
      <c r="T12" s="475">
        <f>100*T11/V5</f>
        <v>27</v>
      </c>
      <c r="U12" s="475"/>
      <c r="V12" s="475"/>
      <c r="W12" s="296" t="s">
        <v>114</v>
      </c>
      <c r="Y12" s="475">
        <f>100*Y11/V5</f>
        <v>73</v>
      </c>
      <c r="Z12" s="475"/>
      <c r="AA12" s="475"/>
      <c r="AB12" s="296" t="s">
        <v>114</v>
      </c>
    </row>
    <row r="13" spans="3:28" ht="16.5" thickTop="1" thickBot="1" x14ac:dyDescent="0.3">
      <c r="D13" s="273"/>
      <c r="L13" s="273"/>
      <c r="T13" s="476">
        <f>100*T12/V5</f>
        <v>9.8035283185359159</v>
      </c>
      <c r="U13" s="476"/>
      <c r="V13" s="476"/>
      <c r="W13" s="296" t="s">
        <v>114</v>
      </c>
      <c r="Y13" s="476">
        <f>100*Y12/V5</f>
        <v>26.505835824189699</v>
      </c>
      <c r="Z13" s="476"/>
      <c r="AA13" s="476"/>
      <c r="AB13" s="296" t="s">
        <v>114</v>
      </c>
    </row>
    <row r="14" spans="3:28" ht="16.5" thickTop="1" thickBot="1" x14ac:dyDescent="0.3">
      <c r="D14" s="273"/>
      <c r="J14" s="445" t="s">
        <v>331</v>
      </c>
      <c r="K14" s="445"/>
      <c r="L14" s="275"/>
      <c r="M14" s="277"/>
      <c r="N14" s="445" t="s">
        <v>332</v>
      </c>
      <c r="O14" s="445"/>
      <c r="Y14" s="282"/>
    </row>
    <row r="15" spans="3:28" ht="16.5" thickTop="1" thickBot="1" x14ac:dyDescent="0.3">
      <c r="D15" s="273"/>
      <c r="J15" s="318">
        <f>Data!C15-Data!C16</f>
        <v>68</v>
      </c>
      <c r="K15" s="271" t="s">
        <v>72</v>
      </c>
      <c r="N15" s="318">
        <f>Data!C16</f>
        <v>102</v>
      </c>
      <c r="O15" s="271" t="s">
        <v>72</v>
      </c>
      <c r="Y15" s="273"/>
    </row>
    <row r="16" spans="3:28" ht="16.5" thickTop="1" thickBot="1" x14ac:dyDescent="0.3">
      <c r="D16" s="273"/>
      <c r="J16" s="314">
        <f>100*J15/K10</f>
        <v>40</v>
      </c>
      <c r="K16" s="280" t="s">
        <v>114</v>
      </c>
      <c r="N16" s="314">
        <f>100*N15/K10</f>
        <v>60</v>
      </c>
      <c r="O16" s="280" t="s">
        <v>114</v>
      </c>
      <c r="Y16" s="275"/>
    </row>
    <row r="17" spans="2:29" ht="16.5" thickTop="1" thickBot="1" x14ac:dyDescent="0.3">
      <c r="D17" s="273"/>
      <c r="J17" s="317">
        <f>100*J15/H5</f>
        <v>13.679340173003419</v>
      </c>
      <c r="K17" s="279" t="s">
        <v>114</v>
      </c>
      <c r="N17" s="317">
        <f>100*N15/H5</f>
        <v>20.51901025950513</v>
      </c>
      <c r="O17" s="279" t="s">
        <v>114</v>
      </c>
      <c r="X17" s="311" t="s">
        <v>333</v>
      </c>
      <c r="Y17" s="311" t="s">
        <v>334</v>
      </c>
      <c r="Z17" s="311" t="s">
        <v>335</v>
      </c>
      <c r="AA17" s="311" t="s">
        <v>342</v>
      </c>
      <c r="AB17" s="311" t="s">
        <v>336</v>
      </c>
      <c r="AC17" s="311"/>
    </row>
    <row r="18" spans="2:29" ht="16.5" thickTop="1" thickBot="1" x14ac:dyDescent="0.3">
      <c r="D18" s="273"/>
      <c r="J18" s="270"/>
      <c r="K18" s="269"/>
      <c r="N18" s="270"/>
      <c r="O18" s="269"/>
      <c r="W18" s="276"/>
      <c r="X18" s="309">
        <f>B21/'Check fractions'!D21</f>
        <v>126.10000000000001</v>
      </c>
      <c r="Y18" s="309">
        <f>C21/'Check fractions'!D22</f>
        <v>53.533846153846156</v>
      </c>
      <c r="Z18" s="309">
        <f>D21/'Check fractions'!D20</f>
        <v>17.503521126760564</v>
      </c>
      <c r="AA18" s="309">
        <f>E21/'Check fractions'!D23</f>
        <v>3.5007042253521128</v>
      </c>
      <c r="AB18" s="309">
        <f>F21/'Check fractions'!D20</f>
        <v>0.49295774647887325</v>
      </c>
      <c r="AC18" s="295" t="s">
        <v>373</v>
      </c>
    </row>
    <row r="19" spans="2:29" ht="16.5" thickTop="1" thickBot="1" x14ac:dyDescent="0.3">
      <c r="D19" s="273"/>
      <c r="J19" s="273"/>
      <c r="N19" s="273"/>
      <c r="X19" s="310">
        <f>100*X18/$Y$11</f>
        <v>62.72069614243425</v>
      </c>
      <c r="Y19" s="310">
        <f t="shared" ref="Y19:AA19" si="0">100*Y18/$Y$11</f>
        <v>26.627122109050017</v>
      </c>
      <c r="Z19" s="310">
        <f t="shared" si="0"/>
        <v>8.7060509913895938</v>
      </c>
      <c r="AA19" s="310">
        <f t="shared" si="0"/>
        <v>1.7412101982779187</v>
      </c>
      <c r="AB19" s="310">
        <f>100*AB18/$Y$11</f>
        <v>0.24519153868327159</v>
      </c>
      <c r="AC19" s="297" t="s">
        <v>114</v>
      </c>
    </row>
    <row r="20" spans="2:29" ht="16.5" thickTop="1" thickBot="1" x14ac:dyDescent="0.3">
      <c r="B20" s="313" t="s">
        <v>333</v>
      </c>
      <c r="C20" s="313" t="s">
        <v>334</v>
      </c>
      <c r="D20" s="313" t="s">
        <v>335</v>
      </c>
      <c r="E20" s="313" t="s">
        <v>342</v>
      </c>
      <c r="F20" s="313" t="s">
        <v>336</v>
      </c>
      <c r="G20" s="313"/>
      <c r="I20" s="313" t="s">
        <v>337</v>
      </c>
      <c r="J20" s="313" t="s">
        <v>338</v>
      </c>
      <c r="K20" s="313"/>
      <c r="M20" s="313" t="s">
        <v>341</v>
      </c>
      <c r="N20" s="313" t="s">
        <v>339</v>
      </c>
      <c r="O20" s="313" t="s">
        <v>340</v>
      </c>
      <c r="P20" s="313"/>
      <c r="X20" s="298">
        <f>100*X18/$V$5</f>
        <v>45.786108183976999</v>
      </c>
      <c r="Y20" s="298">
        <f t="shared" ref="Y20:AB20" si="1">100*Y18/$V$5</f>
        <v>19.437799139606511</v>
      </c>
      <c r="Z20" s="298">
        <f t="shared" si="1"/>
        <v>6.3554172237144027</v>
      </c>
      <c r="AA20" s="298">
        <f t="shared" si="1"/>
        <v>1.2710834447428805</v>
      </c>
      <c r="AB20" s="298">
        <f t="shared" si="1"/>
        <v>0.17898982323878826</v>
      </c>
      <c r="AC20" s="299" t="s">
        <v>114</v>
      </c>
    </row>
    <row r="21" spans="2:29" ht="15.75" customHeight="1" thickTop="1" thickBot="1" x14ac:dyDescent="0.3">
      <c r="B21" s="318">
        <f>Balances!C6</f>
        <v>226.98000000000002</v>
      </c>
      <c r="C21" s="318">
        <f>Balances!C9</f>
        <v>69.594000000000008</v>
      </c>
      <c r="D21" s="318">
        <f>Balances!C10</f>
        <v>24.855</v>
      </c>
      <c r="E21" s="318">
        <f>Balances!C11</f>
        <v>4.9710000000000001</v>
      </c>
      <c r="F21" s="318">
        <f>SUM(Balances!C15:C22)</f>
        <v>0.7</v>
      </c>
      <c r="G21" s="271" t="s">
        <v>72</v>
      </c>
      <c r="H21" s="269"/>
      <c r="I21" s="318">
        <f>Balances!C5</f>
        <v>54.400000000000006</v>
      </c>
      <c r="J21" s="318">
        <f>Balances!C8</f>
        <v>13.6</v>
      </c>
      <c r="K21" s="271" t="s">
        <v>72</v>
      </c>
      <c r="M21" s="318">
        <f>Balances!C3</f>
        <v>19.999999999999996</v>
      </c>
      <c r="N21" s="318">
        <f>Balances!C4</f>
        <v>54</v>
      </c>
      <c r="O21" s="318">
        <f>Balances!C7</f>
        <v>27.999999999999996</v>
      </c>
      <c r="P21" s="271" t="s">
        <v>72</v>
      </c>
    </row>
    <row r="22" spans="2:29" ht="16.5" thickTop="1" thickBot="1" x14ac:dyDescent="0.3">
      <c r="B22" s="314">
        <f>100*B21/$C$10</f>
        <v>69.391623356771618</v>
      </c>
      <c r="C22" s="314">
        <f>100*C21/$C$10</f>
        <v>21.276062366248855</v>
      </c>
      <c r="D22" s="314">
        <f>100*D21/$C$10</f>
        <v>7.5985937022317325</v>
      </c>
      <c r="E22" s="314">
        <f>100*E21/$C$10</f>
        <v>1.5197187404463466</v>
      </c>
      <c r="F22" s="314">
        <f>100*F21/$C$10</f>
        <v>0.21400183430143685</v>
      </c>
      <c r="G22" s="280" t="s">
        <v>114</v>
      </c>
      <c r="H22" s="269"/>
      <c r="I22" s="314">
        <f>100*I21/$J$15</f>
        <v>80.000000000000014</v>
      </c>
      <c r="J22" s="314">
        <f>100*J21/$J$15</f>
        <v>20</v>
      </c>
      <c r="K22" s="280" t="s">
        <v>114</v>
      </c>
      <c r="M22" s="314">
        <f>100*M21/$N$15</f>
        <v>19.607843137254896</v>
      </c>
      <c r="N22" s="314">
        <f>100*N21/$N$15</f>
        <v>52.941176470588232</v>
      </c>
      <c r="O22" s="314">
        <f>100*O21/$N$15</f>
        <v>27.450980392156858</v>
      </c>
      <c r="P22" s="280" t="s">
        <v>114</v>
      </c>
    </row>
    <row r="23" spans="2:29" ht="16.5" thickTop="1" thickBot="1" x14ac:dyDescent="0.3">
      <c r="B23" s="278">
        <f>100*B21/$H$5</f>
        <v>45.66083283041641</v>
      </c>
      <c r="C23" s="278">
        <f>100*C21/$H$5</f>
        <v>14</v>
      </c>
      <c r="D23" s="278">
        <f>100*D21/$H$5</f>
        <v>5</v>
      </c>
      <c r="E23" s="278">
        <f>100*E21/$H$5</f>
        <v>1</v>
      </c>
      <c r="F23" s="278">
        <f>100*F21/$H$5</f>
        <v>0.1408167370750352</v>
      </c>
      <c r="G23" s="279" t="s">
        <v>114</v>
      </c>
      <c r="H23" s="269"/>
      <c r="I23" s="278">
        <f>100*I21/$H$5</f>
        <v>10.943472138402738</v>
      </c>
      <c r="J23" s="278">
        <f>100*J21/$H$5</f>
        <v>2.7358680346006841</v>
      </c>
      <c r="K23" s="279" t="s">
        <v>114</v>
      </c>
      <c r="M23" s="278">
        <f>100*M21/$H$5</f>
        <v>4.023335345001005</v>
      </c>
      <c r="N23" s="278">
        <f>100*N21/$H$5</f>
        <v>10.863005431502716</v>
      </c>
      <c r="O23" s="278">
        <f>100*O21/$H$5</f>
        <v>5.6326694830014068</v>
      </c>
      <c r="P23" s="279" t="s">
        <v>114</v>
      </c>
    </row>
    <row r="24" spans="2:29" ht="15.75" thickTop="1" x14ac:dyDescent="0.25">
      <c r="E24" s="276"/>
    </row>
    <row r="27" spans="2:29" ht="15.75" thickBot="1" x14ac:dyDescent="0.3"/>
    <row r="28" spans="2:29" ht="16.5" thickTop="1" thickBot="1" x14ac:dyDescent="0.3">
      <c r="H28" s="446" t="s">
        <v>348</v>
      </c>
      <c r="I28" s="447"/>
      <c r="J28" s="448"/>
      <c r="T28" s="455" t="s">
        <v>386</v>
      </c>
      <c r="U28" s="457"/>
      <c r="V28" s="456"/>
    </row>
    <row r="29" spans="2:29" ht="16.5" thickTop="1" thickBot="1" x14ac:dyDescent="0.3">
      <c r="H29" s="449">
        <f>Data!C7+Data!C25</f>
        <v>47.3</v>
      </c>
      <c r="I29" s="450"/>
      <c r="J29" s="287" t="s">
        <v>357</v>
      </c>
      <c r="T29" s="458">
        <f>Data!C8</f>
        <v>4.2</v>
      </c>
      <c r="U29" s="459"/>
      <c r="V29" s="300" t="s">
        <v>44</v>
      </c>
    </row>
    <row r="30" spans="2:29" ht="16.5" thickTop="1" thickBot="1" x14ac:dyDescent="0.3">
      <c r="H30" s="451">
        <v>100</v>
      </c>
      <c r="I30" s="452"/>
      <c r="J30" s="288" t="s">
        <v>114</v>
      </c>
      <c r="T30" s="460">
        <v>100</v>
      </c>
      <c r="U30" s="461"/>
      <c r="V30" s="301" t="s">
        <v>114</v>
      </c>
    </row>
    <row r="31" spans="2:29" ht="16.5" thickTop="1" thickBot="1" x14ac:dyDescent="0.3">
      <c r="H31" s="453">
        <v>100</v>
      </c>
      <c r="I31" s="454"/>
      <c r="J31" s="289" t="s">
        <v>114</v>
      </c>
      <c r="T31" s="462">
        <v>100</v>
      </c>
      <c r="U31" s="463"/>
      <c r="V31" s="302" t="s">
        <v>114</v>
      </c>
    </row>
    <row r="32" spans="2:29" ht="15.75" thickTop="1" x14ac:dyDescent="0.25">
      <c r="I32" s="282"/>
      <c r="T32" s="282"/>
      <c r="U32" s="281"/>
      <c r="V32" s="281"/>
    </row>
    <row r="33" spans="2:30" ht="15.75" thickBot="1" x14ac:dyDescent="0.3">
      <c r="I33" s="273"/>
      <c r="T33" s="273"/>
    </row>
    <row r="34" spans="2:30" ht="16.5" thickTop="1" thickBot="1" x14ac:dyDescent="0.3">
      <c r="E34" s="446" t="s">
        <v>381</v>
      </c>
      <c r="F34" s="448"/>
      <c r="I34" s="273"/>
      <c r="K34" s="446" t="s">
        <v>349</v>
      </c>
      <c r="L34" s="448"/>
      <c r="R34" s="455" t="s">
        <v>361</v>
      </c>
      <c r="S34" s="456"/>
      <c r="T34" s="273"/>
      <c r="U34" s="286"/>
      <c r="W34" s="455" t="s">
        <v>360</v>
      </c>
      <c r="X34" s="456"/>
    </row>
    <row r="35" spans="2:30" ht="16.5" thickTop="1" thickBot="1" x14ac:dyDescent="0.3">
      <c r="E35" s="290">
        <f>Data!C7</f>
        <v>47.3</v>
      </c>
      <c r="F35" s="287" t="s">
        <v>357</v>
      </c>
      <c r="G35" s="277"/>
      <c r="H35" s="274"/>
      <c r="I35" s="275"/>
      <c r="J35" s="283"/>
      <c r="K35" s="290">
        <f>Data!C25</f>
        <v>0</v>
      </c>
      <c r="L35" s="287" t="s">
        <v>357</v>
      </c>
      <c r="R35" s="303">
        <f>Data!C24</f>
        <v>2.2260000000000004</v>
      </c>
      <c r="S35" s="300" t="s">
        <v>44</v>
      </c>
      <c r="T35" s="283"/>
      <c r="U35" s="277"/>
      <c r="V35" s="275"/>
      <c r="W35" s="303">
        <f>T29-R35</f>
        <v>1.9739999999999998</v>
      </c>
      <c r="X35" s="300" t="s">
        <v>44</v>
      </c>
    </row>
    <row r="36" spans="2:30" ht="16.5" thickTop="1" thickBot="1" x14ac:dyDescent="0.3">
      <c r="E36" s="291">
        <f>100*E35/H29</f>
        <v>100</v>
      </c>
      <c r="F36" s="288" t="s">
        <v>114</v>
      </c>
      <c r="K36" s="291">
        <f>100*K35/H29</f>
        <v>0</v>
      </c>
      <c r="L36" s="288" t="s">
        <v>114</v>
      </c>
      <c r="R36" s="304">
        <f>100*R35/T29</f>
        <v>53.000000000000007</v>
      </c>
      <c r="S36" s="301" t="s">
        <v>114</v>
      </c>
      <c r="W36" s="304">
        <f>100*W35/T29</f>
        <v>46.999999999999993</v>
      </c>
      <c r="X36" s="301" t="s">
        <v>114</v>
      </c>
    </row>
    <row r="37" spans="2:30" ht="16.5" thickTop="1" thickBot="1" x14ac:dyDescent="0.3">
      <c r="E37" s="292">
        <f>100*E35/H29</f>
        <v>100</v>
      </c>
      <c r="F37" s="289" t="s">
        <v>114</v>
      </c>
      <c r="K37" s="292">
        <f>100*K35/H29</f>
        <v>0</v>
      </c>
      <c r="L37" s="289" t="s">
        <v>114</v>
      </c>
      <c r="R37" s="305">
        <f>100*R35/T29</f>
        <v>53.000000000000007</v>
      </c>
      <c r="S37" s="302" t="s">
        <v>114</v>
      </c>
      <c r="W37" s="305">
        <f>100*W35/T29</f>
        <v>46.999999999999993</v>
      </c>
      <c r="X37" s="302" t="s">
        <v>114</v>
      </c>
    </row>
    <row r="38" spans="2:30" ht="16.5" thickTop="1" thickBot="1" x14ac:dyDescent="0.3">
      <c r="E38" s="282"/>
      <c r="W38" s="284"/>
      <c r="X38" s="285"/>
      <c r="Y38" s="274"/>
      <c r="Z38" s="274"/>
      <c r="AA38" s="274"/>
      <c r="AB38" s="274"/>
      <c r="AC38" s="274"/>
    </row>
    <row r="39" spans="2:30" ht="16.5" thickTop="1" thickBot="1" x14ac:dyDescent="0.3">
      <c r="E39" s="273"/>
      <c r="V39" s="275"/>
      <c r="Z39" s="284"/>
      <c r="AC39" s="284"/>
    </row>
    <row r="40" spans="2:30" ht="16.5" thickTop="1" thickBot="1" x14ac:dyDescent="0.3">
      <c r="B40" s="446" t="s">
        <v>383</v>
      </c>
      <c r="C40" s="448"/>
      <c r="D40" s="277"/>
      <c r="E40" s="275"/>
      <c r="F40" s="274"/>
      <c r="G40" s="275"/>
      <c r="H40" s="446" t="s">
        <v>382</v>
      </c>
      <c r="I40" s="448"/>
      <c r="V40" s="455" t="s">
        <v>362</v>
      </c>
      <c r="W40" s="456"/>
      <c r="Z40" s="455" t="s">
        <v>363</v>
      </c>
      <c r="AA40" s="456"/>
      <c r="AC40" s="455" t="s">
        <v>364</v>
      </c>
      <c r="AD40" s="456"/>
    </row>
    <row r="41" spans="2:30" ht="16.5" thickTop="1" thickBot="1" x14ac:dyDescent="0.3">
      <c r="B41" s="290">
        <f>Data!C23</f>
        <v>34.528999999999996</v>
      </c>
      <c r="C41" s="287" t="s">
        <v>357</v>
      </c>
      <c r="H41" s="290">
        <f>E35-B41</f>
        <v>12.771000000000001</v>
      </c>
      <c r="I41" s="287" t="s">
        <v>357</v>
      </c>
      <c r="V41" s="303">
        <f>SUM(R49:U49)</f>
        <v>1.2419999999999995</v>
      </c>
      <c r="W41" s="300" t="s">
        <v>44</v>
      </c>
      <c r="Z41" s="303">
        <f>X49+Y49</f>
        <v>0.13600000000000001</v>
      </c>
      <c r="AA41" s="300" t="s">
        <v>44</v>
      </c>
      <c r="AC41" s="303">
        <f>AB49+AC49</f>
        <v>0.59600000000000009</v>
      </c>
      <c r="AD41" s="300" t="s">
        <v>44</v>
      </c>
    </row>
    <row r="42" spans="2:30" ht="16.5" thickTop="1" thickBot="1" x14ac:dyDescent="0.3">
      <c r="B42" s="291">
        <f>100*B41/E35</f>
        <v>73</v>
      </c>
      <c r="C42" s="288" t="s">
        <v>114</v>
      </c>
      <c r="H42" s="291">
        <f>100*H41/E35</f>
        <v>27.000000000000004</v>
      </c>
      <c r="I42" s="288" t="s">
        <v>114</v>
      </c>
      <c r="V42" s="304">
        <f>100*V41/W35</f>
        <v>62.917933130699076</v>
      </c>
      <c r="W42" s="301" t="s">
        <v>114</v>
      </c>
      <c r="Z42" s="304">
        <f>100*Z41/W35</f>
        <v>6.8895643363728487</v>
      </c>
      <c r="AA42" s="301" t="s">
        <v>114</v>
      </c>
      <c r="AC42" s="304">
        <f>100*AC41/W35</f>
        <v>30.192502532928074</v>
      </c>
      <c r="AD42" s="301" t="s">
        <v>114</v>
      </c>
    </row>
    <row r="43" spans="2:30" ht="16.5" thickTop="1" thickBot="1" x14ac:dyDescent="0.3">
      <c r="B43" s="292">
        <f>100*B41/H29</f>
        <v>73</v>
      </c>
      <c r="C43" s="289" t="s">
        <v>114</v>
      </c>
      <c r="H43" s="292">
        <f>100*H41/H29</f>
        <v>27.000000000000004</v>
      </c>
      <c r="I43" s="289" t="s">
        <v>114</v>
      </c>
      <c r="V43" s="305">
        <f>100*V41/T29</f>
        <v>29.571428571428562</v>
      </c>
      <c r="W43" s="302" t="s">
        <v>114</v>
      </c>
      <c r="Z43" s="305">
        <f>100*Z41/T29</f>
        <v>3.2380952380952381</v>
      </c>
      <c r="AA43" s="302" t="s">
        <v>114</v>
      </c>
      <c r="AC43" s="305">
        <f>100*AC41/T29</f>
        <v>14.190476190476192</v>
      </c>
      <c r="AD43" s="302" t="s">
        <v>114</v>
      </c>
    </row>
    <row r="44" spans="2:30" ht="16.5" thickTop="1" thickBot="1" x14ac:dyDescent="0.3">
      <c r="G44" s="274"/>
      <c r="H44" s="284"/>
      <c r="I44" s="277"/>
      <c r="J44" s="274"/>
      <c r="K44" s="274"/>
      <c r="L44" s="274"/>
      <c r="M44" s="274"/>
      <c r="V44" s="282"/>
      <c r="Z44" s="282"/>
      <c r="AC44" s="282"/>
    </row>
    <row r="45" spans="2:30" ht="16.5" thickTop="1" thickBot="1" x14ac:dyDescent="0.3">
      <c r="F45" s="275"/>
      <c r="J45" s="284"/>
      <c r="M45" s="284"/>
      <c r="T45" s="274"/>
      <c r="U45" s="274"/>
      <c r="V45" s="275"/>
      <c r="Z45" s="275"/>
      <c r="AC45" s="275"/>
    </row>
    <row r="46" spans="2:30" ht="16.5" thickTop="1" thickBot="1" x14ac:dyDescent="0.3">
      <c r="F46" s="446" t="s">
        <v>358</v>
      </c>
      <c r="G46" s="448"/>
      <c r="J46" s="446" t="s">
        <v>384</v>
      </c>
      <c r="K46" s="448"/>
      <c r="M46" s="446" t="s">
        <v>385</v>
      </c>
      <c r="N46" s="448"/>
      <c r="S46" s="273"/>
      <c r="Y46" s="273"/>
      <c r="AB46" s="273"/>
    </row>
    <row r="47" spans="2:30" ht="16.5" thickTop="1" thickBot="1" x14ac:dyDescent="0.3">
      <c r="F47" s="290">
        <f>B55+C55+D55+E55</f>
        <v>9.6510000000000034</v>
      </c>
      <c r="G47" s="287" t="s">
        <v>357</v>
      </c>
      <c r="J47" s="290">
        <f>H55+I55</f>
        <v>0.68</v>
      </c>
      <c r="K47" s="287" t="s">
        <v>357</v>
      </c>
      <c r="M47" s="290">
        <f>L55+M55</f>
        <v>2.44</v>
      </c>
      <c r="N47" s="287" t="s">
        <v>357</v>
      </c>
      <c r="S47" s="275"/>
      <c r="Y47" s="275"/>
      <c r="AB47" s="275"/>
    </row>
    <row r="48" spans="2:30" ht="16.5" thickTop="1" thickBot="1" x14ac:dyDescent="0.3">
      <c r="F48" s="291">
        <f>100*F47/$H$41</f>
        <v>75.569649988254668</v>
      </c>
      <c r="G48" s="288" t="s">
        <v>114</v>
      </c>
      <c r="J48" s="291">
        <f>100*J47/H41</f>
        <v>5.3245634640983477</v>
      </c>
      <c r="K48" s="288" t="s">
        <v>114</v>
      </c>
      <c r="M48" s="291">
        <f>100*M47/H41</f>
        <v>19.105786547647011</v>
      </c>
      <c r="N48" s="288" t="s">
        <v>114</v>
      </c>
      <c r="R48" s="306" t="s">
        <v>365</v>
      </c>
      <c r="S48" s="306" t="s">
        <v>376</v>
      </c>
      <c r="T48" s="306" t="s">
        <v>366</v>
      </c>
      <c r="U48" s="306" t="s">
        <v>367</v>
      </c>
      <c r="V48" s="306"/>
      <c r="X48" s="312" t="s">
        <v>368</v>
      </c>
      <c r="Y48" s="312" t="s">
        <v>369</v>
      </c>
      <c r="Z48" s="306"/>
      <c r="AB48" s="306" t="s">
        <v>370</v>
      </c>
      <c r="AC48" s="306" t="s">
        <v>371</v>
      </c>
      <c r="AD48" s="306"/>
    </row>
    <row r="49" spans="2:30" ht="16.5" thickTop="1" thickBot="1" x14ac:dyDescent="0.3">
      <c r="F49" s="292">
        <f>100*F47/$H$29</f>
        <v>20.403805496828763</v>
      </c>
      <c r="G49" s="289" t="s">
        <v>114</v>
      </c>
      <c r="J49" s="292">
        <f>100*J47/H29</f>
        <v>1.437632135306554</v>
      </c>
      <c r="K49" s="289" t="s">
        <v>114</v>
      </c>
      <c r="M49" s="292">
        <f>100*M47/H29</f>
        <v>5.1585623678646941</v>
      </c>
      <c r="N49" s="289" t="s">
        <v>114</v>
      </c>
      <c r="R49" s="303">
        <f>Balances!G17</f>
        <v>0.60652000000000017</v>
      </c>
      <c r="S49" s="303">
        <f>Balances!G18</f>
        <v>0.1</v>
      </c>
      <c r="T49" s="303">
        <f>Balances!G26</f>
        <v>0.46588599999999936</v>
      </c>
      <c r="U49" s="303">
        <f>Balances!G25</f>
        <v>6.9594000000000003E-2</v>
      </c>
      <c r="V49" s="300" t="s">
        <v>44</v>
      </c>
      <c r="X49" s="303">
        <f>Balances!G22</f>
        <v>0.10880000000000001</v>
      </c>
      <c r="Y49" s="303">
        <f>Balances!G24</f>
        <v>2.7199999999999998E-2</v>
      </c>
      <c r="Z49" s="300" t="s">
        <v>44</v>
      </c>
      <c r="AB49" s="303">
        <f>Balances!G21</f>
        <v>0.54</v>
      </c>
      <c r="AC49" s="303">
        <f>Balances!G23</f>
        <v>5.5999999999999994E-2</v>
      </c>
      <c r="AD49" s="300" t="s">
        <v>44</v>
      </c>
    </row>
    <row r="50" spans="2:30" ht="16.5" thickTop="1" thickBot="1" x14ac:dyDescent="0.3">
      <c r="F50" s="282"/>
      <c r="J50" s="282"/>
      <c r="M50" s="282"/>
      <c r="R50" s="304">
        <f>100*R49/$V41</f>
        <v>48.834138486312426</v>
      </c>
      <c r="S50" s="304">
        <f t="shared" ref="S50:T50" si="2">100*S49/$V41</f>
        <v>8.0515297906602292</v>
      </c>
      <c r="T50" s="304">
        <f t="shared" si="2"/>
        <v>37.510950080515258</v>
      </c>
      <c r="U50" s="304">
        <f>100*U49/$V41</f>
        <v>5.6033816425120797</v>
      </c>
      <c r="V50" s="304" t="s">
        <v>114</v>
      </c>
      <c r="X50" s="304">
        <f>100*X49/$Z41</f>
        <v>80</v>
      </c>
      <c r="Y50" s="304">
        <f>100*Y49/$Z41</f>
        <v>19.999999999999996</v>
      </c>
      <c r="Z50" s="301" t="s">
        <v>114</v>
      </c>
      <c r="AB50" s="304">
        <f>100*AB49/$AC41</f>
        <v>90.604026845637577</v>
      </c>
      <c r="AC50" s="304">
        <f>100*AC49/$AC41</f>
        <v>9.3959731543624141</v>
      </c>
      <c r="AD50" s="304" t="s">
        <v>114</v>
      </c>
    </row>
    <row r="51" spans="2:30" ht="16.5" thickTop="1" thickBot="1" x14ac:dyDescent="0.3">
      <c r="D51" s="274"/>
      <c r="E51" s="274"/>
      <c r="F51" s="275"/>
      <c r="J51" s="275"/>
      <c r="M51" s="275"/>
      <c r="R51" s="305">
        <f>100*R49/$T$29</f>
        <v>14.440952380952384</v>
      </c>
      <c r="S51" s="305">
        <f t="shared" ref="S51:U51" si="3">100*S49/$T$29</f>
        <v>2.3809523809523809</v>
      </c>
      <c r="T51" s="305">
        <f t="shared" si="3"/>
        <v>11.092523809523794</v>
      </c>
      <c r="U51" s="305">
        <f t="shared" si="3"/>
        <v>1.657</v>
      </c>
      <c r="V51" s="305" t="s">
        <v>114</v>
      </c>
      <c r="X51" s="305">
        <f>100*X49/$T$29</f>
        <v>2.5904761904761906</v>
      </c>
      <c r="Y51" s="305">
        <f>100*Y49/$T$29</f>
        <v>0.64761904761904754</v>
      </c>
      <c r="Z51" s="302" t="s">
        <v>114</v>
      </c>
      <c r="AB51" s="305">
        <f>100*AB49/$T$29</f>
        <v>12.857142857142856</v>
      </c>
      <c r="AC51" s="305">
        <f>100*AC49/$T$29</f>
        <v>1.3333333333333333</v>
      </c>
      <c r="AD51" s="305" t="s">
        <v>114</v>
      </c>
    </row>
    <row r="52" spans="2:30" ht="15.75" thickTop="1" x14ac:dyDescent="0.25">
      <c r="C52" s="273"/>
      <c r="I52" s="273"/>
      <c r="L52" s="273"/>
    </row>
    <row r="53" spans="2:30" ht="15.75" thickBot="1" x14ac:dyDescent="0.3">
      <c r="C53" s="275"/>
      <c r="I53" s="275"/>
      <c r="L53" s="275"/>
    </row>
    <row r="54" spans="2:30" ht="16.5" thickTop="1" thickBot="1" x14ac:dyDescent="0.3">
      <c r="B54" s="293" t="s">
        <v>353</v>
      </c>
      <c r="C54" s="293" t="s">
        <v>354</v>
      </c>
      <c r="D54" s="293" t="s">
        <v>350</v>
      </c>
      <c r="E54" s="293" t="s">
        <v>351</v>
      </c>
      <c r="F54" s="293"/>
      <c r="H54" s="293" t="s">
        <v>355</v>
      </c>
      <c r="I54" s="293" t="s">
        <v>356</v>
      </c>
      <c r="J54" s="294"/>
      <c r="L54" s="293" t="s">
        <v>352</v>
      </c>
      <c r="M54" s="293" t="s">
        <v>359</v>
      </c>
      <c r="N54" s="293"/>
    </row>
    <row r="55" spans="2:30" ht="16.5" thickTop="1" thickBot="1" x14ac:dyDescent="0.3">
      <c r="B55" s="290">
        <f>Balances!G4</f>
        <v>1.7748500000000007</v>
      </c>
      <c r="C55" s="290">
        <f>Balances!G5</f>
        <v>0.29825999999999997</v>
      </c>
      <c r="D55" s="290">
        <f>Balances!G11</f>
        <v>6.8819500000000033</v>
      </c>
      <c r="E55" s="290">
        <f>Balances!G10</f>
        <v>0.69594000000000011</v>
      </c>
      <c r="F55" s="290" t="s">
        <v>357</v>
      </c>
      <c r="H55" s="290">
        <f>Balances!G7</f>
        <v>0.54400000000000004</v>
      </c>
      <c r="I55" s="290">
        <f>Balances!G9</f>
        <v>0.13600000000000001</v>
      </c>
      <c r="J55" s="287" t="s">
        <v>357</v>
      </c>
      <c r="L55" s="290">
        <f>Balances!G6</f>
        <v>2.16</v>
      </c>
      <c r="M55" s="290">
        <f>Balances!G8</f>
        <v>0.27999999999999997</v>
      </c>
      <c r="N55" s="290" t="s">
        <v>357</v>
      </c>
    </row>
    <row r="56" spans="2:30" ht="16.5" thickTop="1" thickBot="1" x14ac:dyDescent="0.3">
      <c r="B56" s="291">
        <f>100*B55/$H$41</f>
        <v>13.897502153316111</v>
      </c>
      <c r="C56" s="291">
        <f>100*C55/$H$41</f>
        <v>2.3354474982381954</v>
      </c>
      <c r="D56" s="291">
        <f>100*D55/$H$41</f>
        <v>53.887322840811237</v>
      </c>
      <c r="E56" s="291">
        <f>100*E55/$H$41</f>
        <v>5.4493774958891237</v>
      </c>
      <c r="F56" s="291" t="s">
        <v>114</v>
      </c>
      <c r="H56" s="291">
        <f>100*H55/$H$41</f>
        <v>4.2596507712786789</v>
      </c>
      <c r="I56" s="291">
        <f>100*I55/$H$41</f>
        <v>1.0649126928196697</v>
      </c>
      <c r="J56" s="288" t="s">
        <v>114</v>
      </c>
      <c r="L56" s="291">
        <f>100*L55/$H$41</f>
        <v>16.913319238900634</v>
      </c>
      <c r="M56" s="291">
        <f>100*M55/$H$41</f>
        <v>2.192467308746378</v>
      </c>
      <c r="N56" s="291" t="s">
        <v>114</v>
      </c>
    </row>
    <row r="57" spans="2:30" ht="16.5" thickTop="1" thickBot="1" x14ac:dyDescent="0.3">
      <c r="B57" s="292">
        <f>100*B55/$H$29</f>
        <v>3.7523255813953504</v>
      </c>
      <c r="C57" s="292">
        <f>100*C55/$H$29</f>
        <v>0.6305708245243129</v>
      </c>
      <c r="D57" s="292">
        <f>100*D55/$H$29</f>
        <v>14.549577167019036</v>
      </c>
      <c r="E57" s="292">
        <f>100*E55/$H$29</f>
        <v>1.4713319238900637</v>
      </c>
      <c r="F57" s="292" t="s">
        <v>114</v>
      </c>
      <c r="H57" s="292">
        <f>100*H55/$H$29</f>
        <v>1.1501057082452433</v>
      </c>
      <c r="I57" s="292">
        <f>100*I55/$H$29</f>
        <v>0.28752642706131082</v>
      </c>
      <c r="J57" s="289" t="s">
        <v>114</v>
      </c>
      <c r="L57" s="292">
        <f>100*L55/$H$29</f>
        <v>4.5665961945031714</v>
      </c>
      <c r="M57" s="292">
        <f>100*M55/$H$29</f>
        <v>0.59196617336152213</v>
      </c>
      <c r="N57" s="292" t="s">
        <v>114</v>
      </c>
    </row>
    <row r="58" spans="2:30" ht="15.75" thickTop="1" x14ac:dyDescent="0.25"/>
  </sheetData>
  <mergeCells count="48">
    <mergeCell ref="T11:V11"/>
    <mergeCell ref="T12:V12"/>
    <mergeCell ref="T13:V13"/>
    <mergeCell ref="Y10:AB10"/>
    <mergeCell ref="Y11:AA11"/>
    <mergeCell ref="Y12:AA12"/>
    <mergeCell ref="Y13:AA13"/>
    <mergeCell ref="V4:X4"/>
    <mergeCell ref="V5:W5"/>
    <mergeCell ref="V6:W6"/>
    <mergeCell ref="V7:W7"/>
    <mergeCell ref="T10:W10"/>
    <mergeCell ref="T28:V28"/>
    <mergeCell ref="T29:U29"/>
    <mergeCell ref="T30:U30"/>
    <mergeCell ref="T31:U31"/>
    <mergeCell ref="R34:S34"/>
    <mergeCell ref="V40:W40"/>
    <mergeCell ref="Z40:AA40"/>
    <mergeCell ref="AC40:AD40"/>
    <mergeCell ref="W34:X34"/>
    <mergeCell ref="B40:C40"/>
    <mergeCell ref="F46:G46"/>
    <mergeCell ref="J46:K46"/>
    <mergeCell ref="M46:N46"/>
    <mergeCell ref="H30:I30"/>
    <mergeCell ref="H31:I31"/>
    <mergeCell ref="K34:L34"/>
    <mergeCell ref="E34:F34"/>
    <mergeCell ref="H40:I40"/>
    <mergeCell ref="J14:K14"/>
    <mergeCell ref="N14:O14"/>
    <mergeCell ref="K11:L11"/>
    <mergeCell ref="H28:J28"/>
    <mergeCell ref="H29:I29"/>
    <mergeCell ref="H4:J4"/>
    <mergeCell ref="D1:G1"/>
    <mergeCell ref="D2:G2"/>
    <mergeCell ref="C12:E12"/>
    <mergeCell ref="K12:L12"/>
    <mergeCell ref="H7:I7"/>
    <mergeCell ref="H6:I6"/>
    <mergeCell ref="H5:I5"/>
    <mergeCell ref="C10:E10"/>
    <mergeCell ref="C11:E11"/>
    <mergeCell ref="C9:F9"/>
    <mergeCell ref="K9:M9"/>
    <mergeCell ref="K10:L10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34"/>
  <sheetViews>
    <sheetView showGridLines="0" zoomScale="85" zoomScaleNormal="85" workbookViewId="0"/>
  </sheetViews>
  <sheetFormatPr defaultColWidth="9.140625" defaultRowHeight="18.75" customHeight="1" x14ac:dyDescent="0.25"/>
  <cols>
    <col min="1" max="1" width="4.28515625" customWidth="1"/>
    <col min="2" max="2" width="42" bestFit="1" customWidth="1"/>
    <col min="3" max="3" width="11" customWidth="1"/>
    <col min="4" max="4" width="13.28515625" customWidth="1"/>
    <col min="6" max="6" width="37.5703125" bestFit="1" customWidth="1"/>
    <col min="10" max="10" width="37.42578125" bestFit="1" customWidth="1"/>
    <col min="11" max="11" width="9" customWidth="1"/>
    <col min="12" max="12" width="17.140625" customWidth="1"/>
  </cols>
  <sheetData>
    <row r="1" spans="2:13" ht="18.75" customHeight="1" thickBot="1" x14ac:dyDescent="0.3"/>
    <row r="2" spans="2:13" ht="18.75" customHeight="1" thickBot="1" x14ac:dyDescent="0.3">
      <c r="B2" s="164" t="s">
        <v>111</v>
      </c>
      <c r="C2" s="165" t="s">
        <v>72</v>
      </c>
      <c r="D2" s="166" t="s">
        <v>116</v>
      </c>
      <c r="F2" s="156" t="s">
        <v>205</v>
      </c>
      <c r="G2" s="157" t="s">
        <v>162</v>
      </c>
      <c r="H2" s="158" t="s">
        <v>116</v>
      </c>
      <c r="J2" s="171" t="s">
        <v>210</v>
      </c>
      <c r="K2" s="172" t="s">
        <v>13</v>
      </c>
      <c r="L2" s="173" t="s">
        <v>1</v>
      </c>
      <c r="M2" s="1"/>
    </row>
    <row r="3" spans="2:13" ht="18.75" customHeight="1" x14ac:dyDescent="0.25">
      <c r="B3" s="32" t="s">
        <v>2</v>
      </c>
      <c r="C3" s="221">
        <f>'Check fractions'!H4*'Check fractions'!D5/100</f>
        <v>19.999999999999996</v>
      </c>
      <c r="D3" s="222">
        <f t="shared" ref="D3:D11" si="0">C3/$C$24</f>
        <v>4.023335345001005E-2</v>
      </c>
      <c r="F3" s="159" t="s">
        <v>48</v>
      </c>
      <c r="G3" s="160">
        <f>Data!C23</f>
        <v>34.528999999999996</v>
      </c>
      <c r="H3" s="161">
        <f t="shared" ref="H3:H11" si="1">G3/$G$12</f>
        <v>0.73</v>
      </c>
      <c r="J3" s="359" t="s">
        <v>206</v>
      </c>
      <c r="K3" s="360">
        <v>7.0000000000000007E-2</v>
      </c>
      <c r="L3" s="361" t="s">
        <v>207</v>
      </c>
    </row>
    <row r="4" spans="2:13" ht="18.75" customHeight="1" x14ac:dyDescent="0.25">
      <c r="B4" s="31" t="s">
        <v>3</v>
      </c>
      <c r="C4" s="33">
        <f>'Check fractions'!H5-Balances!C3-Balances!C7</f>
        <v>54</v>
      </c>
      <c r="D4" s="222">
        <f t="shared" si="0"/>
        <v>0.10863005431502715</v>
      </c>
      <c r="F4" s="32" t="s">
        <v>201</v>
      </c>
      <c r="G4" s="174">
        <f>K3*(C10+C15+C16+C17+C18+C19)</f>
        <v>1.7748500000000007</v>
      </c>
      <c r="H4" s="222">
        <f t="shared" si="1"/>
        <v>3.7523255813953507E-2</v>
      </c>
      <c r="J4" s="362" t="s">
        <v>312</v>
      </c>
      <c r="K4" s="363">
        <v>0.06</v>
      </c>
      <c r="L4" s="364" t="s">
        <v>207</v>
      </c>
    </row>
    <row r="5" spans="2:13" ht="18.75" customHeight="1" x14ac:dyDescent="0.25">
      <c r="B5" s="31" t="s">
        <v>112</v>
      </c>
      <c r="C5" s="33">
        <f>('Check fractions'!H4-'Check fractions'!H5)*(1-'Check fractions'!D13/100)</f>
        <v>54.400000000000006</v>
      </c>
      <c r="D5" s="222">
        <f t="shared" si="0"/>
        <v>0.10943472138402736</v>
      </c>
      <c r="F5" s="32" t="s">
        <v>313</v>
      </c>
      <c r="G5" s="174">
        <f>(C11+C22)*K4</f>
        <v>0.29825999999999997</v>
      </c>
      <c r="H5" s="222">
        <f t="shared" si="1"/>
        <v>6.3057082452431289E-3</v>
      </c>
      <c r="J5" s="365" t="s">
        <v>230</v>
      </c>
      <c r="K5" s="366">
        <v>0.01</v>
      </c>
      <c r="L5" s="364" t="s">
        <v>207</v>
      </c>
    </row>
    <row r="6" spans="2:13" ht="18.75" customHeight="1" x14ac:dyDescent="0.25">
      <c r="B6" s="31" t="s">
        <v>113</v>
      </c>
      <c r="C6" s="33">
        <f>Data!C14-Data!C15-SUM(C9:C11)-SUM(C15:C22)</f>
        <v>226.98000000000002</v>
      </c>
      <c r="D6" s="222">
        <f t="shared" si="0"/>
        <v>0.45660832830416415</v>
      </c>
      <c r="F6" s="32" t="s">
        <v>202</v>
      </c>
      <c r="G6" s="174">
        <f>'Sumo forms'!D29/100*Balances!C4</f>
        <v>2.16</v>
      </c>
      <c r="H6" s="222">
        <f t="shared" si="1"/>
        <v>4.5665961945031718E-2</v>
      </c>
      <c r="J6" s="365" t="s">
        <v>232</v>
      </c>
      <c r="K6" s="366">
        <v>0.01</v>
      </c>
      <c r="L6" s="364" t="s">
        <v>207</v>
      </c>
    </row>
    <row r="7" spans="2:13" ht="18.75" customHeight="1" x14ac:dyDescent="0.25">
      <c r="B7" s="31" t="s">
        <v>7</v>
      </c>
      <c r="C7" s="221">
        <f>'Check fractions'!H4*'Check fractions'!D6/100</f>
        <v>27.999999999999996</v>
      </c>
      <c r="D7" s="222">
        <f t="shared" si="0"/>
        <v>5.6326694830014075E-2</v>
      </c>
      <c r="F7" s="32" t="s">
        <v>216</v>
      </c>
      <c r="G7" s="174">
        <f>K5*Balances!C5</f>
        <v>0.54400000000000004</v>
      </c>
      <c r="H7" s="222">
        <f t="shared" si="1"/>
        <v>1.1501057082452432E-2</v>
      </c>
      <c r="J7" s="365" t="s">
        <v>231</v>
      </c>
      <c r="K7" s="366">
        <v>0.01</v>
      </c>
      <c r="L7" s="364" t="s">
        <v>207</v>
      </c>
    </row>
    <row r="8" spans="2:13" ht="18.75" customHeight="1" x14ac:dyDescent="0.25">
      <c r="B8" s="31" t="s">
        <v>8</v>
      </c>
      <c r="C8" s="33">
        <f>('Check fractions'!H4-'Check fractions'!H5)*'Check fractions'!D13/100</f>
        <v>13.6</v>
      </c>
      <c r="D8" s="222">
        <f t="shared" si="0"/>
        <v>2.7358680346006838E-2</v>
      </c>
      <c r="F8" s="32" t="s">
        <v>217</v>
      </c>
      <c r="G8" s="174">
        <f>K6*Balances!C7</f>
        <v>0.27999999999999997</v>
      </c>
      <c r="H8" s="222">
        <f t="shared" si="1"/>
        <v>5.9196617336152221E-3</v>
      </c>
      <c r="J8" s="367" t="s">
        <v>208</v>
      </c>
      <c r="K8" s="368">
        <v>0.02</v>
      </c>
      <c r="L8" s="369" t="s">
        <v>209</v>
      </c>
    </row>
    <row r="9" spans="2:13" ht="18.75" customHeight="1" x14ac:dyDescent="0.25">
      <c r="B9" s="31" t="s">
        <v>9</v>
      </c>
      <c r="C9" s="33">
        <f>'Check fractions'!G3*'Check fractions'!D10/100</f>
        <v>69.594000000000008</v>
      </c>
      <c r="D9" s="222">
        <f t="shared" si="0"/>
        <v>0.14000000000000001</v>
      </c>
      <c r="F9" s="32" t="s">
        <v>218</v>
      </c>
      <c r="G9" s="174">
        <f>K7*Balances!C8</f>
        <v>0.13600000000000001</v>
      </c>
      <c r="H9" s="222">
        <f t="shared" si="1"/>
        <v>2.8752642706131081E-3</v>
      </c>
      <c r="J9" s="367" t="s">
        <v>233</v>
      </c>
      <c r="K9" s="368">
        <v>2E-3</v>
      </c>
      <c r="L9" s="369" t="s">
        <v>209</v>
      </c>
    </row>
    <row r="10" spans="2:13" ht="18.75" customHeight="1" x14ac:dyDescent="0.25">
      <c r="B10" s="31" t="s">
        <v>308</v>
      </c>
      <c r="C10" s="33">
        <f>'Check fractions'!G3*'Check fractions'!D11/100</f>
        <v>24.855</v>
      </c>
      <c r="D10" s="222">
        <f t="shared" si="0"/>
        <v>4.9999999999999996E-2</v>
      </c>
      <c r="F10" s="32" t="s">
        <v>204</v>
      </c>
      <c r="G10" s="174">
        <f>'Sumo forms'!D30/100*Balances!C9</f>
        <v>0.69594000000000011</v>
      </c>
      <c r="H10" s="222">
        <f t="shared" si="1"/>
        <v>1.4713319238900638E-2</v>
      </c>
      <c r="J10" s="367" t="s">
        <v>235</v>
      </c>
      <c r="K10" s="368">
        <v>2E-3</v>
      </c>
      <c r="L10" s="369" t="s">
        <v>209</v>
      </c>
    </row>
    <row r="11" spans="2:13" ht="18.75" customHeight="1" thickBot="1" x14ac:dyDescent="0.3">
      <c r="B11" s="34" t="s">
        <v>102</v>
      </c>
      <c r="C11" s="211">
        <f>'Check fractions'!D12/100*C10</f>
        <v>4.9710000000000001</v>
      </c>
      <c r="D11" s="212">
        <f t="shared" si="0"/>
        <v>0.01</v>
      </c>
      <c r="F11" s="162" t="s">
        <v>203</v>
      </c>
      <c r="G11" s="175">
        <f>G12-SUM(G3:G10)</f>
        <v>6.8819500000000033</v>
      </c>
      <c r="H11" s="163">
        <f t="shared" si="1"/>
        <v>0.14549577167019034</v>
      </c>
      <c r="J11" s="367" t="s">
        <v>234</v>
      </c>
      <c r="K11" s="368">
        <v>2E-3</v>
      </c>
      <c r="L11" s="369" t="s">
        <v>209</v>
      </c>
    </row>
    <row r="12" spans="2:13" ht="18.75" customHeight="1" thickBot="1" x14ac:dyDescent="0.3">
      <c r="B12" s="355"/>
      <c r="F12" s="111" t="s">
        <v>222</v>
      </c>
      <c r="G12" s="36">
        <f>Data!C7</f>
        <v>47.3</v>
      </c>
      <c r="H12" s="37">
        <f>SUM(H3:H11)</f>
        <v>1</v>
      </c>
      <c r="J12" s="373" t="s">
        <v>297</v>
      </c>
      <c r="K12" s="374">
        <v>1.2</v>
      </c>
      <c r="L12" s="375" t="s">
        <v>298</v>
      </c>
    </row>
    <row r="13" spans="2:13" ht="18.75" customHeight="1" thickBot="1" x14ac:dyDescent="0.3">
      <c r="B13" s="164" t="s">
        <v>115</v>
      </c>
      <c r="C13" s="165" t="s">
        <v>72</v>
      </c>
      <c r="D13" s="166" t="s">
        <v>116</v>
      </c>
      <c r="J13" s="373" t="s">
        <v>299</v>
      </c>
      <c r="K13" s="374">
        <v>0.2</v>
      </c>
      <c r="L13" s="375" t="s">
        <v>298</v>
      </c>
    </row>
    <row r="14" spans="2:13" ht="18.75" customHeight="1" thickBot="1" x14ac:dyDescent="0.3">
      <c r="B14" s="191" t="s">
        <v>4</v>
      </c>
      <c r="C14" s="188">
        <f>-'Sumo forms'!D45</f>
        <v>0</v>
      </c>
      <c r="D14" s="209">
        <f t="shared" ref="D14:D22" si="2">C14/$C$24</f>
        <v>0</v>
      </c>
      <c r="J14" s="370" t="s">
        <v>399</v>
      </c>
      <c r="K14" s="371">
        <v>8.2900000000000001E-2</v>
      </c>
      <c r="L14" s="372" t="s">
        <v>401</v>
      </c>
    </row>
    <row r="15" spans="2:13" ht="18.75" customHeight="1" thickBot="1" x14ac:dyDescent="0.3">
      <c r="B15" s="236" t="s">
        <v>378</v>
      </c>
      <c r="C15" s="213">
        <f>'Sumo forms'!D49</f>
        <v>0.1</v>
      </c>
      <c r="D15" s="214">
        <f t="shared" si="2"/>
        <v>2.011667672500503E-4</v>
      </c>
      <c r="F15" s="156" t="s">
        <v>215</v>
      </c>
      <c r="G15" s="157" t="s">
        <v>163</v>
      </c>
      <c r="H15" s="158" t="s">
        <v>116</v>
      </c>
      <c r="J15" s="373" t="s">
        <v>402</v>
      </c>
      <c r="K15" s="374">
        <v>1</v>
      </c>
      <c r="L15" s="375" t="s">
        <v>404</v>
      </c>
    </row>
    <row r="16" spans="2:13" ht="18.75" customHeight="1" x14ac:dyDescent="0.25">
      <c r="B16" s="236" t="s">
        <v>278</v>
      </c>
      <c r="C16" s="213">
        <f>'Sumo forms'!D50</f>
        <v>0.1</v>
      </c>
      <c r="D16" s="214">
        <f t="shared" si="2"/>
        <v>2.011667672500503E-4</v>
      </c>
      <c r="F16" s="159" t="s">
        <v>49</v>
      </c>
      <c r="G16" s="160">
        <f>Data!C24</f>
        <v>2.2260000000000004</v>
      </c>
      <c r="H16" s="161">
        <f>G16/$G$27</f>
        <v>0.53</v>
      </c>
      <c r="J16" s="373" t="s">
        <v>403</v>
      </c>
      <c r="K16" s="374">
        <v>0.1</v>
      </c>
      <c r="L16" s="375" t="s">
        <v>404</v>
      </c>
    </row>
    <row r="17" spans="2:12" ht="18.75" customHeight="1" x14ac:dyDescent="0.25">
      <c r="B17" s="236" t="s">
        <v>279</v>
      </c>
      <c r="C17" s="213">
        <f>'Sumo forms'!D51</f>
        <v>0.1</v>
      </c>
      <c r="D17" s="214">
        <f t="shared" si="2"/>
        <v>2.011667672500503E-4</v>
      </c>
      <c r="F17" s="32" t="s">
        <v>211</v>
      </c>
      <c r="G17" s="174">
        <f>K8*(C10+C11+C15+C16+C17+C18+C19+C22)</f>
        <v>0.60652000000000017</v>
      </c>
      <c r="H17" s="222">
        <f>G17/$G$27</f>
        <v>0.14440952380952385</v>
      </c>
      <c r="J17" s="370" t="s">
        <v>398</v>
      </c>
      <c r="K17" s="371">
        <v>0.1135</v>
      </c>
      <c r="L17" s="372" t="s">
        <v>400</v>
      </c>
    </row>
    <row r="18" spans="2:12" ht="18.75" customHeight="1" x14ac:dyDescent="0.25">
      <c r="B18" s="236" t="s">
        <v>280</v>
      </c>
      <c r="C18" s="213">
        <f>'Sumo forms'!D52</f>
        <v>0.1</v>
      </c>
      <c r="D18" s="214">
        <f t="shared" si="2"/>
        <v>2.011667672500503E-4</v>
      </c>
      <c r="F18" s="220" t="s">
        <v>303</v>
      </c>
      <c r="G18" s="221">
        <f>'Sumo forms'!D56</f>
        <v>0.1</v>
      </c>
      <c r="H18" s="222">
        <f>G18/$G$27</f>
        <v>2.3809523809523808E-2</v>
      </c>
      <c r="J18" s="217" t="s">
        <v>396</v>
      </c>
      <c r="K18" s="218">
        <f>(30+31+3*16)/31</f>
        <v>3.5161290322580645</v>
      </c>
      <c r="L18" s="219" t="s">
        <v>397</v>
      </c>
    </row>
    <row r="19" spans="2:12" ht="18.75" customHeight="1" x14ac:dyDescent="0.25">
      <c r="B19" s="236" t="s">
        <v>281</v>
      </c>
      <c r="C19" s="213">
        <f>'Sumo forms'!D53</f>
        <v>0.1</v>
      </c>
      <c r="D19" s="214">
        <f t="shared" si="2"/>
        <v>2.011667672500503E-4</v>
      </c>
      <c r="F19" s="220" t="s">
        <v>304</v>
      </c>
      <c r="G19" s="221">
        <f>('Sumo forms'!D64+'Sumo forms'!D66)*A_SFHFO_L*(AM_P/AM_Fe)+('Sumo forms'!D63+'Sumo forms'!D65)*A_SFHFO_H*(AM_P/AM_Fe)</f>
        <v>0</v>
      </c>
      <c r="H19" s="222">
        <f>G19/$G$27</f>
        <v>0</v>
      </c>
      <c r="J19" s="217" t="s">
        <v>263</v>
      </c>
      <c r="K19" s="218">
        <v>1.67</v>
      </c>
      <c r="L19" s="219" t="s">
        <v>414</v>
      </c>
    </row>
    <row r="20" spans="2:12" ht="18.75" customHeight="1" x14ac:dyDescent="0.25">
      <c r="B20" s="215" t="s">
        <v>276</v>
      </c>
      <c r="C20" s="213">
        <f>'Sumo forms'!D46</f>
        <v>0.1</v>
      </c>
      <c r="D20" s="214">
        <f t="shared" si="2"/>
        <v>2.011667672500503E-4</v>
      </c>
      <c r="F20" s="220" t="s">
        <v>416</v>
      </c>
      <c r="G20" s="221">
        <f>('Sumo forms'!D69+'Sumo forms'!D71)*A_SFHAO_L*(AM_P/AM_Al) +('Sumo forms'!D68+'Sumo forms'!D70)*A_SFHAO_H*(AM_P/AM_Al)</f>
        <v>0</v>
      </c>
      <c r="H20" s="222">
        <f>G20/$G$27</f>
        <v>0</v>
      </c>
      <c r="J20" s="376" t="s">
        <v>302</v>
      </c>
      <c r="K20" s="377">
        <v>55.844999999999999</v>
      </c>
      <c r="L20" s="378" t="s">
        <v>301</v>
      </c>
    </row>
    <row r="21" spans="2:12" ht="18.75" customHeight="1" x14ac:dyDescent="0.25">
      <c r="B21" s="215" t="s">
        <v>296</v>
      </c>
      <c r="C21" s="213">
        <f>'Sumo forms'!D47</f>
        <v>0.1</v>
      </c>
      <c r="D21" s="214">
        <f t="shared" si="2"/>
        <v>2.011667672500503E-4</v>
      </c>
      <c r="F21" s="32" t="s">
        <v>212</v>
      </c>
      <c r="G21" s="174">
        <f>'Sumo forms'!D31/100*Balances!C4</f>
        <v>0.54</v>
      </c>
      <c r="H21" s="222">
        <f t="shared" ref="H21:H26" si="3">G21/$G$27</f>
        <v>0.12857142857142859</v>
      </c>
      <c r="J21" s="376" t="s">
        <v>405</v>
      </c>
      <c r="K21" s="377">
        <v>26.9815</v>
      </c>
      <c r="L21" s="378" t="s">
        <v>301</v>
      </c>
    </row>
    <row r="22" spans="2:12" ht="18.75" customHeight="1" thickBot="1" x14ac:dyDescent="0.3">
      <c r="B22" s="210" t="s">
        <v>194</v>
      </c>
      <c r="C22" s="211">
        <f>'Sumo forms'!D48</f>
        <v>0</v>
      </c>
      <c r="D22" s="212">
        <f t="shared" si="2"/>
        <v>0</v>
      </c>
      <c r="F22" s="32" t="s">
        <v>219</v>
      </c>
      <c r="G22" s="174">
        <f>K9*Balances!C5</f>
        <v>0.10880000000000001</v>
      </c>
      <c r="H22" s="222">
        <f t="shared" si="3"/>
        <v>2.5904761904761906E-2</v>
      </c>
      <c r="J22" s="376" t="s">
        <v>300</v>
      </c>
      <c r="K22" s="377">
        <v>30.973762199999999</v>
      </c>
      <c r="L22" s="378" t="s">
        <v>301</v>
      </c>
    </row>
    <row r="23" spans="2:12" ht="18.75" customHeight="1" thickBot="1" x14ac:dyDescent="0.3">
      <c r="B23" s="356"/>
      <c r="F23" s="32" t="s">
        <v>220</v>
      </c>
      <c r="G23" s="174">
        <f>K10*Balances!C7</f>
        <v>5.5999999999999994E-2</v>
      </c>
      <c r="H23" s="222">
        <f t="shared" si="3"/>
        <v>1.3333333333333331E-2</v>
      </c>
      <c r="J23" s="379" t="s">
        <v>407</v>
      </c>
      <c r="K23" s="380">
        <v>106.86702</v>
      </c>
      <c r="L23" s="381" t="s">
        <v>301</v>
      </c>
    </row>
    <row r="24" spans="2:12" ht="18.75" customHeight="1" thickBot="1" x14ac:dyDescent="0.3">
      <c r="B24" s="111" t="s">
        <v>16</v>
      </c>
      <c r="C24" s="36">
        <f>Data!C14</f>
        <v>497.1</v>
      </c>
      <c r="D24" s="37">
        <f>SUM(D3:D11)+SUM(D14:D22)</f>
        <v>1</v>
      </c>
      <c r="F24" s="32" t="s">
        <v>221</v>
      </c>
      <c r="G24" s="174">
        <f>K11*Balances!C8</f>
        <v>2.7199999999999998E-2</v>
      </c>
      <c r="H24" s="222">
        <f t="shared" si="3"/>
        <v>6.4761904761904757E-3</v>
      </c>
      <c r="J24" s="376" t="s">
        <v>408</v>
      </c>
      <c r="K24" s="377">
        <v>78.003519999999995</v>
      </c>
      <c r="L24" s="378" t="s">
        <v>301</v>
      </c>
    </row>
    <row r="25" spans="2:12" ht="18.75" customHeight="1" thickBot="1" x14ac:dyDescent="0.3">
      <c r="B25" s="356"/>
      <c r="F25" s="32" t="s">
        <v>214</v>
      </c>
      <c r="G25" s="174">
        <f>'Sumo forms'!D32/100*Balances!C9</f>
        <v>6.9594000000000003E-2</v>
      </c>
      <c r="H25" s="222">
        <f t="shared" si="3"/>
        <v>1.6570000000000001E-2</v>
      </c>
      <c r="J25" s="382" t="s">
        <v>406</v>
      </c>
      <c r="K25" s="383">
        <v>94.971362200000002</v>
      </c>
      <c r="L25" s="384" t="s">
        <v>301</v>
      </c>
    </row>
    <row r="26" spans="2:12" ht="18.75" customHeight="1" thickBot="1" x14ac:dyDescent="0.3">
      <c r="B26" s="164" t="s">
        <v>372</v>
      </c>
      <c r="C26" s="165" t="s">
        <v>153</v>
      </c>
      <c r="D26" s="166" t="s">
        <v>116</v>
      </c>
      <c r="F26" s="162" t="s">
        <v>213</v>
      </c>
      <c r="G26" s="175">
        <f>G27-SUM(G16:G25)</f>
        <v>0.46588599999999936</v>
      </c>
      <c r="H26" s="163">
        <f t="shared" si="3"/>
        <v>0.11092523809523794</v>
      </c>
    </row>
    <row r="27" spans="2:12" ht="18.75" customHeight="1" thickBot="1" x14ac:dyDescent="0.3">
      <c r="B27" s="236" t="s">
        <v>152</v>
      </c>
      <c r="C27" s="213">
        <f>C33-SUM(C28:C32)</f>
        <v>73.96619115323432</v>
      </c>
      <c r="D27" s="214">
        <f>C27/$C$33</f>
        <v>0.26856653688332349</v>
      </c>
      <c r="F27" s="111" t="s">
        <v>223</v>
      </c>
      <c r="G27" s="36">
        <f>Data!C8</f>
        <v>4.2</v>
      </c>
      <c r="H27" s="37">
        <f>SUM(H16:H26)</f>
        <v>0.99999999999999989</v>
      </c>
    </row>
    <row r="28" spans="2:12" ht="18.75" customHeight="1" x14ac:dyDescent="0.25">
      <c r="B28" s="236" t="s">
        <v>409</v>
      </c>
      <c r="C28" s="213">
        <f>(1-f_H2O_HFO_TSS)*(SUM('Sumo forms'!D62:D66)+'Sumo forms'!D59)*MM_HFO/AM_Fe+ ('Sumo forms'!D64+'Sumo forms'!D66)*A_SFHFO_L*(MM_PO4/AM_Fe)+('Sumo forms'!D63+'Sumo forms'!D65)*A_SFHFO_H*(MM_PO4/AM_Fe)</f>
        <v>1.7549958643029814E-2</v>
      </c>
      <c r="D28" s="214">
        <f>C28/$C$33</f>
        <v>6.3722783905954429E-5</v>
      </c>
    </row>
    <row r="29" spans="2:12" ht="18.75" customHeight="1" x14ac:dyDescent="0.25">
      <c r="B29" s="236" t="s">
        <v>410</v>
      </c>
      <c r="C29" s="213">
        <f>(1-f_H2O_HAO_TSS)*(SUM('Sumo forms'!D67:D71)+'Sumo forms'!D61)*MM_HAO/AM_Al+ ('Sumo forms'!D69+'Sumo forms'!D71)*A_SFHAO_L*(MM_PO4/AM_Al) +('Sumo forms'!D68+'Sumo forms'!D70)*A_SFHAO_H*(MM_PO4/AM_Al)</f>
        <v>2.5628716149954593E-2</v>
      </c>
      <c r="D29" s="214">
        <f t="shared" ref="D29:D31" si="4">C29/$C$33</f>
        <v>9.3056238719925417E-5</v>
      </c>
    </row>
    <row r="30" spans="2:12" ht="18.75" customHeight="1" x14ac:dyDescent="0.25">
      <c r="B30" s="215" t="s">
        <v>413</v>
      </c>
      <c r="C30" s="213">
        <f>SUM('Sumo forms'!D72:D76)</f>
        <v>0</v>
      </c>
      <c r="D30" s="214">
        <f t="shared" si="4"/>
        <v>0</v>
      </c>
    </row>
    <row r="31" spans="2:12" ht="18.75" customHeight="1" x14ac:dyDescent="0.25">
      <c r="B31" s="215" t="s">
        <v>417</v>
      </c>
      <c r="C31" s="213">
        <f>i_TSS_PP*'Sumo forms'!D56</f>
        <v>0.35161290322580646</v>
      </c>
      <c r="D31" s="214">
        <f t="shared" si="4"/>
        <v>1.276684094050675E-3</v>
      </c>
    </row>
    <row r="32" spans="2:12" ht="18.75" customHeight="1" thickBot="1" x14ac:dyDescent="0.3">
      <c r="B32" s="210" t="s">
        <v>412</v>
      </c>
      <c r="C32" s="211">
        <f>'Check fractions'!H8</f>
        <v>201.05006442153615</v>
      </c>
      <c r="D32" s="212">
        <f>C32/$C$33</f>
        <v>0.73</v>
      </c>
    </row>
    <row r="33" spans="2:4" ht="15.75" thickBot="1" x14ac:dyDescent="0.3">
      <c r="B33" s="111" t="s">
        <v>411</v>
      </c>
      <c r="C33" s="36">
        <f>'Check fractions'!H7</f>
        <v>275.41104715278925</v>
      </c>
      <c r="D33" s="37">
        <f>SUM(D27:D32)</f>
        <v>1</v>
      </c>
    </row>
    <row r="34" spans="2:4" ht="15" x14ac:dyDescent="0.25"/>
  </sheetData>
  <sheetProtection selectLockedCells="1"/>
  <conditionalFormatting sqref="C6">
    <cfRule type="cellIs" dxfId="5" priority="1" operator="lessThan">
      <formula>0</formula>
    </cfRule>
  </conditionalFormatting>
  <conditionalFormatting sqref="G11">
    <cfRule type="cellIs" dxfId="4" priority="2" operator="lessThan">
      <formula>0</formula>
    </cfRule>
  </conditionalFormatting>
  <conditionalFormatting sqref="G26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3"/>
  <sheetViews>
    <sheetView zoomScale="80" zoomScaleNormal="80" workbookViewId="0"/>
  </sheetViews>
  <sheetFormatPr defaultColWidth="9.140625" defaultRowHeight="15" x14ac:dyDescent="0.25"/>
  <cols>
    <col min="1" max="1" width="17.5703125" style="3" customWidth="1"/>
    <col min="2" max="2" width="11.5703125" style="3" bestFit="1" customWidth="1"/>
    <col min="3" max="3" width="12.5703125" style="3" bestFit="1" customWidth="1"/>
    <col min="4" max="4" width="13.7109375" style="3" bestFit="1" customWidth="1"/>
    <col min="5" max="5" width="24" style="3" customWidth="1"/>
    <col min="6" max="6" width="9.140625" style="4"/>
    <col min="7" max="9" width="9.140625" style="5"/>
    <col min="10" max="10" width="12" style="5" customWidth="1"/>
    <col min="11" max="13" width="9.140625" style="5"/>
    <col min="14" max="16384" width="9.140625" style="6"/>
  </cols>
  <sheetData>
    <row r="1" spans="1:20" ht="15.75" x14ac:dyDescent="0.25">
      <c r="A1" s="2" t="s">
        <v>24</v>
      </c>
    </row>
    <row r="2" spans="1:20" x14ac:dyDescent="0.25">
      <c r="P2" s="7" t="s">
        <v>25</v>
      </c>
    </row>
    <row r="3" spans="1:20" x14ac:dyDescent="0.25">
      <c r="A3" s="8" t="s">
        <v>26</v>
      </c>
      <c r="B3" s="30">
        <f>B4*C3</f>
        <v>13694</v>
      </c>
      <c r="C3" s="30">
        <f>Data!C3</f>
        <v>136940</v>
      </c>
      <c r="D3" s="30">
        <f>D4*C3</f>
        <v>1369400</v>
      </c>
      <c r="E3" s="9"/>
      <c r="F3" s="29" t="s">
        <v>27</v>
      </c>
      <c r="P3" s="10" t="s">
        <v>32</v>
      </c>
    </row>
    <row r="4" spans="1:20" x14ac:dyDescent="0.25">
      <c r="A4" s="8" t="s">
        <v>144</v>
      </c>
      <c r="B4" s="30">
        <v>0.1</v>
      </c>
      <c r="C4" s="30"/>
      <c r="D4" s="30">
        <v>10</v>
      </c>
      <c r="E4" s="9"/>
      <c r="P4" s="28" t="s">
        <v>145</v>
      </c>
    </row>
    <row r="5" spans="1:20" x14ac:dyDescent="0.25">
      <c r="A5" s="8" t="s">
        <v>28</v>
      </c>
      <c r="B5" s="30">
        <v>1</v>
      </c>
      <c r="C5" s="30">
        <v>2</v>
      </c>
      <c r="D5" s="30">
        <v>4</v>
      </c>
      <c r="F5" s="11" t="s">
        <v>29</v>
      </c>
      <c r="G5" s="12"/>
      <c r="H5" s="12"/>
      <c r="I5" s="12" t="s">
        <v>30</v>
      </c>
      <c r="J5" s="12"/>
      <c r="K5" s="12"/>
      <c r="L5" s="12" t="s">
        <v>31</v>
      </c>
      <c r="P5" s="28" t="s">
        <v>146</v>
      </c>
    </row>
    <row r="6" spans="1:20" x14ac:dyDescent="0.25">
      <c r="A6" s="13" t="s">
        <v>33</v>
      </c>
      <c r="B6" s="14">
        <f>AVERAGE(B10:B33)</f>
        <v>0.99999999999999989</v>
      </c>
      <c r="C6" s="14">
        <f>AVERAGE(C10:C33)</f>
        <v>1</v>
      </c>
      <c r="D6" s="14">
        <f>AVERAGE(D10:D33)</f>
        <v>0.99999999999999989</v>
      </c>
      <c r="E6" s="15"/>
      <c r="F6" s="16"/>
      <c r="G6" s="17">
        <f>AVERAGE(G10:G33)</f>
        <v>13694.000000000002</v>
      </c>
      <c r="H6" s="18"/>
      <c r="I6" s="18"/>
      <c r="J6" s="17">
        <f>AVERAGE(J10:J33)</f>
        <v>136940</v>
      </c>
      <c r="K6" s="18"/>
      <c r="L6" s="18"/>
      <c r="M6" s="19">
        <f>AVERAGE(M10:M33)</f>
        <v>1369399.9999999998</v>
      </c>
    </row>
    <row r="7" spans="1:20" x14ac:dyDescent="0.25">
      <c r="T7" s="3"/>
    </row>
    <row r="8" spans="1:20" x14ac:dyDescent="0.25">
      <c r="A8" s="20" t="s">
        <v>34</v>
      </c>
      <c r="B8" s="20" t="s">
        <v>35</v>
      </c>
      <c r="C8" s="20" t="s">
        <v>36</v>
      </c>
      <c r="D8" s="20" t="s">
        <v>37</v>
      </c>
      <c r="F8" s="21" t="s">
        <v>34</v>
      </c>
      <c r="G8" s="21" t="s">
        <v>14</v>
      </c>
      <c r="I8" s="22" t="s">
        <v>34</v>
      </c>
      <c r="J8" s="22" t="s">
        <v>14</v>
      </c>
      <c r="L8" s="22" t="s">
        <v>34</v>
      </c>
      <c r="M8" s="22" t="s">
        <v>14</v>
      </c>
    </row>
    <row r="9" spans="1:20" x14ac:dyDescent="0.25">
      <c r="A9" s="126" t="s">
        <v>183</v>
      </c>
      <c r="B9" s="126" t="s">
        <v>21</v>
      </c>
      <c r="C9" s="126" t="s">
        <v>21</v>
      </c>
      <c r="D9" s="126" t="s">
        <v>21</v>
      </c>
      <c r="F9" s="127" t="s">
        <v>184</v>
      </c>
      <c r="G9" s="127" t="s">
        <v>185</v>
      </c>
      <c r="I9" s="128" t="s">
        <v>184</v>
      </c>
      <c r="J9" s="128" t="s">
        <v>185</v>
      </c>
      <c r="L9" s="128" t="s">
        <v>184</v>
      </c>
      <c r="M9" s="128" t="s">
        <v>185</v>
      </c>
    </row>
    <row r="10" spans="1:20" x14ac:dyDescent="0.25">
      <c r="A10" s="3">
        <v>0</v>
      </c>
      <c r="B10" s="3">
        <v>0.92370848053769694</v>
      </c>
      <c r="C10" s="3">
        <f t="shared" ref="C10:C33" si="0">1-(1-B10)/$C$5</f>
        <v>0.96185424026884847</v>
      </c>
      <c r="D10" s="3">
        <f t="shared" ref="D10:D33" si="1">1-(1-B10)/$D$5</f>
        <v>0.98092712013442429</v>
      </c>
      <c r="F10" s="129">
        <v>0</v>
      </c>
      <c r="G10" s="22">
        <f t="shared" ref="G10:G33" si="2">$B$3*B10</f>
        <v>12649.263932483222</v>
      </c>
      <c r="I10" s="129">
        <v>0</v>
      </c>
      <c r="J10" s="23">
        <f>$C$3*C10</f>
        <v>131716.31966241612</v>
      </c>
      <c r="L10" s="129">
        <v>0</v>
      </c>
      <c r="M10" s="22">
        <f>$D$3*D10</f>
        <v>1343281.5983120806</v>
      </c>
    </row>
    <row r="11" spans="1:20" x14ac:dyDescent="0.25">
      <c r="A11" s="3">
        <v>4.1666666999999998E-2</v>
      </c>
      <c r="B11" s="3">
        <v>0.79842741753157853</v>
      </c>
      <c r="C11" s="3">
        <f t="shared" si="0"/>
        <v>0.89921370876578921</v>
      </c>
      <c r="D11" s="3">
        <f t="shared" si="1"/>
        <v>0.94960685438289461</v>
      </c>
      <c r="F11" s="129">
        <v>1</v>
      </c>
      <c r="G11" s="22">
        <f t="shared" si="2"/>
        <v>10933.665055677437</v>
      </c>
      <c r="I11" s="129">
        <v>1</v>
      </c>
      <c r="J11" s="23">
        <f t="shared" ref="J11:J33" si="3">$C$3*C11</f>
        <v>123138.32527838717</v>
      </c>
      <c r="L11" s="129">
        <v>1</v>
      </c>
      <c r="M11" s="22">
        <f t="shared" ref="M11:M33" si="4">$D$3*D11</f>
        <v>1300391.6263919359</v>
      </c>
    </row>
    <row r="12" spans="1:20" x14ac:dyDescent="0.25">
      <c r="A12" s="3">
        <v>8.3333332999999996E-2</v>
      </c>
      <c r="B12" s="3">
        <v>0.67606828055988355</v>
      </c>
      <c r="C12" s="3">
        <f t="shared" si="0"/>
        <v>0.83803414027994183</v>
      </c>
      <c r="D12" s="3">
        <f t="shared" si="1"/>
        <v>0.91901707013997092</v>
      </c>
      <c r="F12" s="129">
        <v>2</v>
      </c>
      <c r="G12" s="22">
        <f t="shared" si="2"/>
        <v>9258.0790339870455</v>
      </c>
      <c r="I12" s="129">
        <v>2</v>
      </c>
      <c r="J12" s="23">
        <f t="shared" si="3"/>
        <v>114760.39516993523</v>
      </c>
      <c r="L12" s="129">
        <v>2</v>
      </c>
      <c r="M12" s="22">
        <f t="shared" si="4"/>
        <v>1258501.9758496762</v>
      </c>
    </row>
    <row r="13" spans="1:20" x14ac:dyDescent="0.25">
      <c r="A13" s="3">
        <v>0.125</v>
      </c>
      <c r="B13" s="3">
        <v>0.58386775266027691</v>
      </c>
      <c r="C13" s="3">
        <f t="shared" si="0"/>
        <v>0.79193387633013845</v>
      </c>
      <c r="D13" s="3">
        <f t="shared" si="1"/>
        <v>0.89596693816506923</v>
      </c>
      <c r="F13" s="129">
        <v>3</v>
      </c>
      <c r="G13" s="22">
        <f t="shared" si="2"/>
        <v>7995.485004929832</v>
      </c>
      <c r="I13" s="129">
        <v>3</v>
      </c>
      <c r="J13" s="23">
        <f t="shared" si="3"/>
        <v>108447.42502464916</v>
      </c>
      <c r="L13" s="129">
        <v>3</v>
      </c>
      <c r="M13" s="22">
        <f t="shared" si="4"/>
        <v>1226937.1251232459</v>
      </c>
    </row>
    <row r="14" spans="1:20" x14ac:dyDescent="0.25">
      <c r="A14" s="3">
        <v>0.16666666699999999</v>
      </c>
      <c r="B14" s="3">
        <v>0.54484137120169696</v>
      </c>
      <c r="C14" s="3">
        <f t="shared" si="0"/>
        <v>0.77242068560084842</v>
      </c>
      <c r="D14" s="3">
        <f t="shared" si="1"/>
        <v>0.88621034280042421</v>
      </c>
      <c r="F14" s="129">
        <v>4</v>
      </c>
      <c r="G14" s="22">
        <f t="shared" si="2"/>
        <v>7461.0577372360385</v>
      </c>
      <c r="I14" s="129">
        <v>4</v>
      </c>
      <c r="J14" s="23">
        <f t="shared" si="3"/>
        <v>105775.28868618018</v>
      </c>
      <c r="L14" s="129">
        <v>4</v>
      </c>
      <c r="M14" s="22">
        <f t="shared" si="4"/>
        <v>1213576.4434309008</v>
      </c>
    </row>
    <row r="15" spans="1:20" x14ac:dyDescent="0.25">
      <c r="A15" s="3">
        <v>0.20833333300000001</v>
      </c>
      <c r="B15" s="3">
        <v>0.57173167120325918</v>
      </c>
      <c r="C15" s="3">
        <f t="shared" si="0"/>
        <v>0.78586583560162959</v>
      </c>
      <c r="D15" s="3">
        <f t="shared" si="1"/>
        <v>0.89293291780081474</v>
      </c>
      <c r="F15" s="129">
        <v>5</v>
      </c>
      <c r="G15" s="22">
        <f t="shared" si="2"/>
        <v>7829.2935054574309</v>
      </c>
      <c r="I15" s="129">
        <v>5</v>
      </c>
      <c r="J15" s="23">
        <f t="shared" si="3"/>
        <v>107616.46752728715</v>
      </c>
      <c r="L15" s="129">
        <v>5</v>
      </c>
      <c r="M15" s="22">
        <f t="shared" si="4"/>
        <v>1222782.3376364356</v>
      </c>
    </row>
    <row r="16" spans="1:20" x14ac:dyDescent="0.25">
      <c r="A16" s="3">
        <v>0.25</v>
      </c>
      <c r="B16" s="3">
        <v>0.66343808388767789</v>
      </c>
      <c r="C16" s="3">
        <f t="shared" si="0"/>
        <v>0.83171904194383894</v>
      </c>
      <c r="D16" s="3">
        <f t="shared" si="1"/>
        <v>0.91585952097191947</v>
      </c>
      <c r="F16" s="129">
        <v>6</v>
      </c>
      <c r="G16" s="22">
        <f t="shared" si="2"/>
        <v>9085.1211207578617</v>
      </c>
      <c r="I16" s="129">
        <v>6</v>
      </c>
      <c r="J16" s="23">
        <f t="shared" si="3"/>
        <v>113895.6056037893</v>
      </c>
      <c r="L16" s="129">
        <v>6</v>
      </c>
      <c r="M16" s="22">
        <f t="shared" si="4"/>
        <v>1254178.0280189465</v>
      </c>
    </row>
    <row r="17" spans="1:13" x14ac:dyDescent="0.25">
      <c r="A17" s="3">
        <v>0.29166666699999999</v>
      </c>
      <c r="B17" s="3">
        <v>0.80489581033830182</v>
      </c>
      <c r="C17" s="3">
        <f t="shared" si="0"/>
        <v>0.90244790516915097</v>
      </c>
      <c r="D17" s="3">
        <f t="shared" si="1"/>
        <v>0.95122395258457548</v>
      </c>
      <c r="F17" s="129">
        <v>7</v>
      </c>
      <c r="G17" s="22">
        <f t="shared" si="2"/>
        <v>11022.243226772705</v>
      </c>
      <c r="I17" s="129">
        <v>7</v>
      </c>
      <c r="J17" s="23">
        <f t="shared" si="3"/>
        <v>123581.21613386353</v>
      </c>
      <c r="L17" s="129">
        <v>7</v>
      </c>
      <c r="M17" s="22">
        <f t="shared" si="4"/>
        <v>1302606.0806693176</v>
      </c>
    </row>
    <row r="18" spans="1:13" x14ac:dyDescent="0.25">
      <c r="A18" s="3">
        <v>0.33333333300000001</v>
      </c>
      <c r="B18" s="3">
        <v>0.97046447723580986</v>
      </c>
      <c r="C18" s="3">
        <f t="shared" si="0"/>
        <v>0.98523223861790488</v>
      </c>
      <c r="D18" s="3">
        <f t="shared" si="1"/>
        <v>0.99261611930895244</v>
      </c>
      <c r="F18" s="129">
        <v>8</v>
      </c>
      <c r="G18" s="22">
        <f t="shared" si="2"/>
        <v>13289.54055126718</v>
      </c>
      <c r="I18" s="129">
        <v>8</v>
      </c>
      <c r="J18" s="23">
        <f t="shared" si="3"/>
        <v>134917.7027563359</v>
      </c>
      <c r="L18" s="129">
        <v>8</v>
      </c>
      <c r="M18" s="22">
        <f t="shared" si="4"/>
        <v>1359288.5137816796</v>
      </c>
    </row>
    <row r="19" spans="1:13" x14ac:dyDescent="0.25">
      <c r="A19" s="3">
        <v>0.375</v>
      </c>
      <c r="B19" s="3">
        <v>1.129962743485216</v>
      </c>
      <c r="C19" s="3">
        <f t="shared" si="0"/>
        <v>1.064981371742608</v>
      </c>
      <c r="D19" s="3">
        <f t="shared" si="1"/>
        <v>1.0324906858713039</v>
      </c>
      <c r="F19" s="129">
        <v>9</v>
      </c>
      <c r="G19" s="22">
        <f t="shared" si="2"/>
        <v>15473.709809286547</v>
      </c>
      <c r="I19" s="129">
        <v>9</v>
      </c>
      <c r="J19" s="23">
        <f t="shared" si="3"/>
        <v>145838.54904643274</v>
      </c>
      <c r="L19" s="129">
        <v>9</v>
      </c>
      <c r="M19" s="22">
        <f t="shared" si="4"/>
        <v>1413892.7452321635</v>
      </c>
    </row>
    <row r="20" spans="1:13" x14ac:dyDescent="0.25">
      <c r="A20" s="3">
        <v>0.41666666699999999</v>
      </c>
      <c r="B20" s="3">
        <v>1.255788842063815</v>
      </c>
      <c r="C20" s="3">
        <f t="shared" si="0"/>
        <v>1.1278944210319075</v>
      </c>
      <c r="D20" s="3">
        <f t="shared" si="1"/>
        <v>1.0639472105159538</v>
      </c>
      <c r="F20" s="129">
        <v>10</v>
      </c>
      <c r="G20" s="22">
        <f t="shared" si="2"/>
        <v>17196.772403221883</v>
      </c>
      <c r="I20" s="129">
        <v>10</v>
      </c>
      <c r="J20" s="23">
        <f t="shared" si="3"/>
        <v>154453.8620161094</v>
      </c>
      <c r="L20" s="129">
        <v>10</v>
      </c>
      <c r="M20" s="22">
        <f t="shared" si="4"/>
        <v>1456969.3100805471</v>
      </c>
    </row>
    <row r="21" spans="1:13" x14ac:dyDescent="0.25">
      <c r="A21" s="3">
        <v>0.45833333300000001</v>
      </c>
      <c r="B21" s="3">
        <v>1.3292849806740759</v>
      </c>
      <c r="C21" s="3">
        <f t="shared" si="0"/>
        <v>1.1646424903370378</v>
      </c>
      <c r="D21" s="3">
        <f t="shared" si="1"/>
        <v>1.0823212451685189</v>
      </c>
      <c r="F21" s="129">
        <v>11</v>
      </c>
      <c r="G21" s="22">
        <f t="shared" si="2"/>
        <v>18203.228525350794</v>
      </c>
      <c r="I21" s="129">
        <v>11</v>
      </c>
      <c r="J21" s="23">
        <f t="shared" si="3"/>
        <v>159486.14262675395</v>
      </c>
      <c r="L21" s="129">
        <v>11</v>
      </c>
      <c r="M21" s="22">
        <f t="shared" si="4"/>
        <v>1482130.7131337698</v>
      </c>
    </row>
    <row r="22" spans="1:13" x14ac:dyDescent="0.25">
      <c r="A22" s="3">
        <v>0.5</v>
      </c>
      <c r="B22" s="3">
        <v>1.3447105581983232</v>
      </c>
      <c r="C22" s="3">
        <f t="shared" si="0"/>
        <v>1.1723552790991616</v>
      </c>
      <c r="D22" s="3">
        <f t="shared" si="1"/>
        <v>1.0861776395495808</v>
      </c>
      <c r="F22" s="129">
        <v>12</v>
      </c>
      <c r="G22" s="22">
        <f t="shared" si="2"/>
        <v>18414.466383967836</v>
      </c>
      <c r="I22" s="129">
        <v>12</v>
      </c>
      <c r="J22" s="23">
        <f t="shared" si="3"/>
        <v>160542.3319198392</v>
      </c>
      <c r="L22" s="129">
        <v>12</v>
      </c>
      <c r="M22" s="22">
        <f t="shared" si="4"/>
        <v>1487411.6595991959</v>
      </c>
    </row>
    <row r="23" spans="1:13" x14ac:dyDescent="0.25">
      <c r="A23" s="3">
        <v>0.54166666699999999</v>
      </c>
      <c r="B23" s="3">
        <v>1.309829505464472</v>
      </c>
      <c r="C23" s="3">
        <f t="shared" si="0"/>
        <v>1.1549147527322359</v>
      </c>
      <c r="D23" s="3">
        <f t="shared" si="1"/>
        <v>1.0774573763661179</v>
      </c>
      <c r="F23" s="129">
        <v>13</v>
      </c>
      <c r="G23" s="22">
        <f t="shared" si="2"/>
        <v>17936.805247830478</v>
      </c>
      <c r="I23" s="129">
        <v>13</v>
      </c>
      <c r="J23" s="23">
        <f t="shared" si="3"/>
        <v>158154.02623915239</v>
      </c>
      <c r="L23" s="129">
        <v>13</v>
      </c>
      <c r="M23" s="22">
        <f t="shared" si="4"/>
        <v>1475470.131195762</v>
      </c>
    </row>
    <row r="24" spans="1:13" x14ac:dyDescent="0.25">
      <c r="A24" s="3">
        <v>0.58333333300000001</v>
      </c>
      <c r="B24" s="3">
        <v>1.2430191716043275</v>
      </c>
      <c r="C24" s="3">
        <f t="shared" si="0"/>
        <v>1.1215095858021638</v>
      </c>
      <c r="D24" s="3">
        <f t="shared" si="1"/>
        <v>1.0607547929010819</v>
      </c>
      <c r="F24" s="129">
        <v>14</v>
      </c>
      <c r="G24" s="22">
        <f t="shared" si="2"/>
        <v>17021.904535949659</v>
      </c>
      <c r="I24" s="129">
        <v>14</v>
      </c>
      <c r="J24" s="23">
        <f t="shared" si="3"/>
        <v>153579.5226797483</v>
      </c>
      <c r="L24" s="129">
        <v>14</v>
      </c>
      <c r="M24" s="22">
        <f t="shared" si="4"/>
        <v>1452597.6133987415</v>
      </c>
    </row>
    <row r="25" spans="1:13" x14ac:dyDescent="0.25">
      <c r="A25" s="3">
        <v>0.625</v>
      </c>
      <c r="B25" s="3">
        <v>1.1677306805222387</v>
      </c>
      <c r="C25" s="3">
        <f t="shared" si="0"/>
        <v>1.0838653402611194</v>
      </c>
      <c r="D25" s="3">
        <f t="shared" si="1"/>
        <v>1.0419326701305596</v>
      </c>
      <c r="F25" s="129">
        <v>15</v>
      </c>
      <c r="G25" s="22">
        <f t="shared" si="2"/>
        <v>15990.903939071537</v>
      </c>
      <c r="I25" s="129">
        <v>15</v>
      </c>
      <c r="J25" s="23">
        <f t="shared" si="3"/>
        <v>148424.51969535768</v>
      </c>
      <c r="L25" s="129">
        <v>15</v>
      </c>
      <c r="M25" s="22">
        <f t="shared" si="4"/>
        <v>1426822.5984767883</v>
      </c>
    </row>
    <row r="26" spans="1:13" x14ac:dyDescent="0.25">
      <c r="A26" s="3">
        <v>0.66666666699999999</v>
      </c>
      <c r="B26" s="3">
        <v>1.105827042226494</v>
      </c>
      <c r="C26" s="3">
        <f t="shared" si="0"/>
        <v>1.052913521113247</v>
      </c>
      <c r="D26" s="3">
        <f t="shared" si="1"/>
        <v>1.0264567605566235</v>
      </c>
      <c r="F26" s="129">
        <v>16</v>
      </c>
      <c r="G26" s="22">
        <f t="shared" si="2"/>
        <v>15143.195516249609</v>
      </c>
      <c r="I26" s="129">
        <v>16</v>
      </c>
      <c r="J26" s="23">
        <f t="shared" si="3"/>
        <v>144185.97758124804</v>
      </c>
      <c r="L26" s="129">
        <v>16</v>
      </c>
      <c r="M26" s="22">
        <f t="shared" si="4"/>
        <v>1405629.8879062403</v>
      </c>
    </row>
    <row r="27" spans="1:13" x14ac:dyDescent="0.25">
      <c r="A27" s="3">
        <v>0.70833333300000001</v>
      </c>
      <c r="B27" s="3">
        <v>1.0716098389832069</v>
      </c>
      <c r="C27" s="3">
        <f t="shared" si="0"/>
        <v>1.0358049194916035</v>
      </c>
      <c r="D27" s="3">
        <f t="shared" si="1"/>
        <v>1.0179024597458017</v>
      </c>
      <c r="F27" s="129">
        <v>17</v>
      </c>
      <c r="G27" s="22">
        <f t="shared" si="2"/>
        <v>14674.625135036036</v>
      </c>
      <c r="I27" s="129">
        <v>17</v>
      </c>
      <c r="J27" s="23">
        <f t="shared" si="3"/>
        <v>141843.12567518017</v>
      </c>
      <c r="L27" s="129">
        <v>17</v>
      </c>
      <c r="M27" s="22">
        <f t="shared" si="4"/>
        <v>1393915.6283759009</v>
      </c>
    </row>
    <row r="28" spans="1:13" x14ac:dyDescent="0.25">
      <c r="A28" s="3">
        <v>0.75</v>
      </c>
      <c r="B28" s="3">
        <v>1.0681428773763031</v>
      </c>
      <c r="C28" s="3">
        <f t="shared" si="0"/>
        <v>1.0340714386881515</v>
      </c>
      <c r="D28" s="3">
        <f t="shared" si="1"/>
        <v>1.0170357193440758</v>
      </c>
      <c r="F28" s="129">
        <v>18</v>
      </c>
      <c r="G28" s="22">
        <f t="shared" si="2"/>
        <v>14627.148562791095</v>
      </c>
      <c r="I28" s="129">
        <v>18</v>
      </c>
      <c r="J28" s="23">
        <f t="shared" si="3"/>
        <v>141605.74281395547</v>
      </c>
      <c r="L28" s="129">
        <v>18</v>
      </c>
      <c r="M28" s="22">
        <f t="shared" si="4"/>
        <v>1392728.7140697774</v>
      </c>
    </row>
    <row r="29" spans="1:13" x14ac:dyDescent="0.25">
      <c r="A29" s="3">
        <v>0.79166666699999999</v>
      </c>
      <c r="B29" s="3">
        <v>1.0868472666656483</v>
      </c>
      <c r="C29" s="3">
        <f t="shared" si="0"/>
        <v>1.0434236333328242</v>
      </c>
      <c r="D29" s="3">
        <f t="shared" si="1"/>
        <v>1.0217118166664121</v>
      </c>
      <c r="F29" s="129">
        <v>19</v>
      </c>
      <c r="G29" s="22">
        <f t="shared" si="2"/>
        <v>14883.286469719389</v>
      </c>
      <c r="I29" s="129">
        <v>19</v>
      </c>
      <c r="J29" s="23">
        <f t="shared" si="3"/>
        <v>142886.43234859695</v>
      </c>
      <c r="L29" s="129">
        <v>19</v>
      </c>
      <c r="M29" s="22">
        <f t="shared" si="4"/>
        <v>1399132.1617429848</v>
      </c>
    </row>
    <row r="30" spans="1:13" x14ac:dyDescent="0.25">
      <c r="A30" s="3">
        <v>0.83333333300000001</v>
      </c>
      <c r="B30" s="3">
        <v>1.11044807059998</v>
      </c>
      <c r="C30" s="3">
        <f t="shared" si="0"/>
        <v>1.05522403529999</v>
      </c>
      <c r="D30" s="3">
        <f t="shared" si="1"/>
        <v>1.027612017649995</v>
      </c>
      <c r="F30" s="129">
        <v>20</v>
      </c>
      <c r="G30" s="22">
        <f t="shared" si="2"/>
        <v>15206.475878796125</v>
      </c>
      <c r="I30" s="129">
        <v>20</v>
      </c>
      <c r="J30" s="23">
        <f t="shared" si="3"/>
        <v>144502.37939398063</v>
      </c>
      <c r="L30" s="129">
        <v>20</v>
      </c>
      <c r="M30" s="22">
        <f t="shared" si="4"/>
        <v>1407211.896969903</v>
      </c>
    </row>
    <row r="31" spans="1:13" x14ac:dyDescent="0.25">
      <c r="A31" s="3">
        <v>0.875</v>
      </c>
      <c r="B31" s="3">
        <v>1.1184388233322677</v>
      </c>
      <c r="C31" s="3">
        <f t="shared" si="0"/>
        <v>1.0592194116661338</v>
      </c>
      <c r="D31" s="3">
        <f t="shared" si="1"/>
        <v>1.0296097058330669</v>
      </c>
      <c r="F31" s="129">
        <v>21</v>
      </c>
      <c r="G31" s="22">
        <f t="shared" si="2"/>
        <v>15315.901246712074</v>
      </c>
      <c r="I31" s="129">
        <v>21</v>
      </c>
      <c r="J31" s="23">
        <f t="shared" si="3"/>
        <v>145049.50623356036</v>
      </c>
      <c r="L31" s="129">
        <v>21</v>
      </c>
      <c r="M31" s="22">
        <f t="shared" si="4"/>
        <v>1409947.5311678017</v>
      </c>
    </row>
    <row r="32" spans="1:13" x14ac:dyDescent="0.25">
      <c r="A32" s="3">
        <v>0.91666666699999999</v>
      </c>
      <c r="B32" s="3">
        <v>1.0935427445079926</v>
      </c>
      <c r="C32" s="3">
        <f t="shared" si="0"/>
        <v>1.0467713722539962</v>
      </c>
      <c r="D32" s="3">
        <f t="shared" si="1"/>
        <v>1.0233856861269981</v>
      </c>
      <c r="F32" s="129">
        <v>22</v>
      </c>
      <c r="G32" s="22">
        <f t="shared" si="2"/>
        <v>14974.974343292452</v>
      </c>
      <c r="I32" s="129">
        <v>22</v>
      </c>
      <c r="J32" s="23">
        <f t="shared" si="3"/>
        <v>143344.87171646225</v>
      </c>
      <c r="L32" s="129">
        <v>22</v>
      </c>
      <c r="M32" s="22">
        <f t="shared" si="4"/>
        <v>1401424.3585823111</v>
      </c>
    </row>
    <row r="33" spans="1:13" x14ac:dyDescent="0.25">
      <c r="A33" s="3">
        <v>0.95833333300000001</v>
      </c>
      <c r="B33" s="3">
        <v>1.0273735091394558</v>
      </c>
      <c r="C33" s="3">
        <f t="shared" si="0"/>
        <v>1.0136867545697279</v>
      </c>
      <c r="D33" s="3">
        <f t="shared" si="1"/>
        <v>1.0068433772848639</v>
      </c>
      <c r="F33" s="129">
        <v>23</v>
      </c>
      <c r="G33" s="22">
        <f t="shared" si="2"/>
        <v>14068.852834155708</v>
      </c>
      <c r="I33" s="129">
        <v>23</v>
      </c>
      <c r="J33" s="23">
        <f t="shared" si="3"/>
        <v>138814.26417077854</v>
      </c>
      <c r="L33" s="129">
        <v>23</v>
      </c>
      <c r="M33" s="22">
        <f t="shared" si="4"/>
        <v>1378771.3208538927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90"/>
  <sheetViews>
    <sheetView zoomScale="80" zoomScaleNormal="80" workbookViewId="0"/>
  </sheetViews>
  <sheetFormatPr defaultColWidth="9.140625" defaultRowHeight="15" x14ac:dyDescent="0.25"/>
  <cols>
    <col min="1" max="1" width="9"/>
    <col min="4" max="4" width="15.5703125" customWidth="1"/>
    <col min="18" max="18" width="13.5703125" customWidth="1"/>
  </cols>
  <sheetData>
    <row r="2" spans="1:21" x14ac:dyDescent="0.25">
      <c r="A2" t="s">
        <v>328</v>
      </c>
      <c r="D2" t="s">
        <v>322</v>
      </c>
      <c r="E2" t="s">
        <v>317</v>
      </c>
      <c r="F2" t="s">
        <v>17</v>
      </c>
      <c r="G2" t="s">
        <v>41</v>
      </c>
      <c r="J2" s="265" t="s">
        <v>329</v>
      </c>
    </row>
    <row r="3" spans="1:21" x14ac:dyDescent="0.25">
      <c r="D3" s="256">
        <f>AVERAGE(D7:D30)</f>
        <v>136940</v>
      </c>
      <c r="E3" s="265">
        <v>420</v>
      </c>
      <c r="F3" s="265">
        <v>34.4</v>
      </c>
      <c r="G3" s="265">
        <v>4.3</v>
      </c>
      <c r="J3" s="264"/>
      <c r="R3" t="s">
        <v>330</v>
      </c>
    </row>
    <row r="5" spans="1:21" x14ac:dyDescent="0.25">
      <c r="C5" s="22" t="s">
        <v>34</v>
      </c>
      <c r="D5" s="22" t="s">
        <v>14</v>
      </c>
      <c r="E5" s="268" t="s">
        <v>317</v>
      </c>
      <c r="F5" s="268" t="s">
        <v>17</v>
      </c>
      <c r="G5" s="268" t="s">
        <v>41</v>
      </c>
      <c r="K5" t="s">
        <v>319</v>
      </c>
      <c r="L5" t="s">
        <v>320</v>
      </c>
      <c r="S5" t="s">
        <v>327</v>
      </c>
      <c r="T5" t="s">
        <v>319</v>
      </c>
      <c r="U5" t="s">
        <v>320</v>
      </c>
    </row>
    <row r="6" spans="1:21" x14ac:dyDescent="0.25">
      <c r="A6" t="s">
        <v>318</v>
      </c>
      <c r="C6" s="128" t="s">
        <v>184</v>
      </c>
      <c r="D6" s="128" t="s">
        <v>185</v>
      </c>
      <c r="E6" s="268" t="s">
        <v>72</v>
      </c>
      <c r="F6" s="268" t="s">
        <v>162</v>
      </c>
      <c r="G6" s="268" t="s">
        <v>163</v>
      </c>
      <c r="Q6">
        <v>0</v>
      </c>
      <c r="R6" s="257" t="s">
        <v>324</v>
      </c>
      <c r="S6">
        <f>Q6*24</f>
        <v>0</v>
      </c>
      <c r="T6" s="265">
        <v>1</v>
      </c>
      <c r="U6" s="265">
        <v>1</v>
      </c>
    </row>
    <row r="7" spans="1:21" x14ac:dyDescent="0.25">
      <c r="A7">
        <f>C7/24</f>
        <v>0</v>
      </c>
      <c r="C7" s="260">
        <v>0</v>
      </c>
      <c r="D7" s="261">
        <f>Data!$C$3*'Diurnal flow'!C10*K7</f>
        <v>131716.31966241612</v>
      </c>
      <c r="E7" s="257">
        <f>E$3*$L7</f>
        <v>420</v>
      </c>
      <c r="F7" s="257">
        <f>F$3*$L7</f>
        <v>34.4</v>
      </c>
      <c r="G7" s="257">
        <f>G$3*$L7</f>
        <v>4.3</v>
      </c>
      <c r="K7">
        <f>$T$6</f>
        <v>1</v>
      </c>
      <c r="L7">
        <f>$U$6</f>
        <v>1</v>
      </c>
      <c r="N7" t="s">
        <v>323</v>
      </c>
      <c r="Q7">
        <v>1</v>
      </c>
      <c r="R7" s="257" t="s">
        <v>324</v>
      </c>
      <c r="S7">
        <f>Q7*24</f>
        <v>24</v>
      </c>
      <c r="T7" s="265"/>
      <c r="U7" s="265"/>
    </row>
    <row r="8" spans="1:21" x14ac:dyDescent="0.25">
      <c r="A8">
        <f t="shared" ref="A8:A71" si="0">C8/24</f>
        <v>4.1666666666666664E-2</v>
      </c>
      <c r="C8" s="260">
        <v>1</v>
      </c>
      <c r="D8" s="261">
        <f>Data!$C$3*'Diurnal flow'!C11*K8</f>
        <v>123138.32527838717</v>
      </c>
      <c r="E8" s="257">
        <f t="shared" ref="E8:G49" si="1">E$3*$L8</f>
        <v>420</v>
      </c>
      <c r="F8" s="257">
        <f t="shared" si="1"/>
        <v>34.4</v>
      </c>
      <c r="G8" s="257">
        <f t="shared" si="1"/>
        <v>4.3</v>
      </c>
      <c r="K8">
        <f t="shared" ref="K8:K71" si="2">$T$6</f>
        <v>1</v>
      </c>
      <c r="L8">
        <f t="shared" ref="L8:L71" si="3">$U$6</f>
        <v>1</v>
      </c>
      <c r="Q8">
        <v>2</v>
      </c>
      <c r="R8" s="257" t="s">
        <v>324</v>
      </c>
      <c r="S8">
        <f t="shared" ref="S8:S23" si="4">Q8*24</f>
        <v>48</v>
      </c>
      <c r="T8" s="265"/>
      <c r="U8" s="265"/>
    </row>
    <row r="9" spans="1:21" x14ac:dyDescent="0.25">
      <c r="A9">
        <f t="shared" si="0"/>
        <v>8.3333333333333329E-2</v>
      </c>
      <c r="C9" s="260">
        <v>2</v>
      </c>
      <c r="D9" s="261">
        <f>Data!$C$3*'Diurnal flow'!C12*K9</f>
        <v>114760.39516993523</v>
      </c>
      <c r="E9" s="257">
        <f t="shared" si="1"/>
        <v>420</v>
      </c>
      <c r="F9" s="257">
        <f t="shared" si="1"/>
        <v>34.4</v>
      </c>
      <c r="G9" s="257">
        <f t="shared" si="1"/>
        <v>4.3</v>
      </c>
      <c r="K9">
        <f t="shared" si="2"/>
        <v>1</v>
      </c>
      <c r="L9">
        <f t="shared" si="3"/>
        <v>1</v>
      </c>
      <c r="Q9">
        <v>3</v>
      </c>
      <c r="R9" s="258" t="s">
        <v>321</v>
      </c>
      <c r="S9">
        <f t="shared" si="4"/>
        <v>72</v>
      </c>
      <c r="T9" s="265">
        <v>2</v>
      </c>
      <c r="U9" s="265">
        <v>0.8</v>
      </c>
    </row>
    <row r="10" spans="1:21" x14ac:dyDescent="0.25">
      <c r="A10">
        <f t="shared" si="0"/>
        <v>0.125</v>
      </c>
      <c r="C10" s="260">
        <v>3</v>
      </c>
      <c r="D10" s="261">
        <f>Data!$C$3*'Diurnal flow'!C13*K10</f>
        <v>108447.42502464916</v>
      </c>
      <c r="E10" s="257">
        <f t="shared" si="1"/>
        <v>420</v>
      </c>
      <c r="F10" s="257">
        <f t="shared" si="1"/>
        <v>34.4</v>
      </c>
      <c r="G10" s="257">
        <f t="shared" si="1"/>
        <v>4.3</v>
      </c>
      <c r="K10">
        <f t="shared" si="2"/>
        <v>1</v>
      </c>
      <c r="L10">
        <f t="shared" si="3"/>
        <v>1</v>
      </c>
      <c r="Q10">
        <v>4</v>
      </c>
      <c r="R10" s="258" t="s">
        <v>321</v>
      </c>
      <c r="S10">
        <f t="shared" si="4"/>
        <v>96</v>
      </c>
      <c r="T10" s="265"/>
      <c r="U10" s="265"/>
    </row>
    <row r="11" spans="1:21" x14ac:dyDescent="0.25">
      <c r="A11">
        <f t="shared" si="0"/>
        <v>0.16666666666666666</v>
      </c>
      <c r="C11" s="260">
        <v>4</v>
      </c>
      <c r="D11" s="261">
        <f>Data!$C$3*'Diurnal flow'!C14*K11</f>
        <v>105775.28868618018</v>
      </c>
      <c r="E11" s="257">
        <f t="shared" si="1"/>
        <v>420</v>
      </c>
      <c r="F11" s="257">
        <f t="shared" si="1"/>
        <v>34.4</v>
      </c>
      <c r="G11" s="257">
        <f t="shared" si="1"/>
        <v>4.3</v>
      </c>
      <c r="K11">
        <f t="shared" si="2"/>
        <v>1</v>
      </c>
      <c r="L11">
        <f t="shared" si="3"/>
        <v>1</v>
      </c>
      <c r="Q11">
        <v>5</v>
      </c>
      <c r="R11" s="258" t="s">
        <v>321</v>
      </c>
      <c r="S11">
        <f t="shared" si="4"/>
        <v>120</v>
      </c>
      <c r="T11" s="265"/>
      <c r="U11" s="265"/>
    </row>
    <row r="12" spans="1:21" x14ac:dyDescent="0.25">
      <c r="A12">
        <f t="shared" si="0"/>
        <v>0.20833333333333334</v>
      </c>
      <c r="C12" s="260">
        <v>5</v>
      </c>
      <c r="D12" s="261">
        <f>Data!$C$3*'Diurnal flow'!C15*K12</f>
        <v>107616.46752728715</v>
      </c>
      <c r="E12" s="257">
        <f t="shared" si="1"/>
        <v>420</v>
      </c>
      <c r="F12" s="257">
        <f t="shared" si="1"/>
        <v>34.4</v>
      </c>
      <c r="G12" s="257">
        <f t="shared" si="1"/>
        <v>4.3</v>
      </c>
      <c r="K12">
        <f t="shared" si="2"/>
        <v>1</v>
      </c>
      <c r="L12">
        <f t="shared" si="3"/>
        <v>1</v>
      </c>
      <c r="Q12">
        <v>6</v>
      </c>
      <c r="R12" s="258" t="s">
        <v>321</v>
      </c>
      <c r="S12">
        <f t="shared" si="4"/>
        <v>144</v>
      </c>
      <c r="T12" s="265"/>
      <c r="U12" s="265"/>
    </row>
    <row r="13" spans="1:21" x14ac:dyDescent="0.25">
      <c r="A13">
        <f t="shared" si="0"/>
        <v>0.25</v>
      </c>
      <c r="C13" s="260">
        <v>6</v>
      </c>
      <c r="D13" s="261">
        <f>Data!$C$3*'Diurnal flow'!C16*K13</f>
        <v>113895.6056037893</v>
      </c>
      <c r="E13" s="257">
        <f t="shared" si="1"/>
        <v>420</v>
      </c>
      <c r="F13" s="257">
        <f t="shared" si="1"/>
        <v>34.4</v>
      </c>
      <c r="G13" s="257">
        <f t="shared" si="1"/>
        <v>4.3</v>
      </c>
      <c r="K13">
        <f t="shared" si="2"/>
        <v>1</v>
      </c>
      <c r="L13">
        <f t="shared" si="3"/>
        <v>1</v>
      </c>
      <c r="Q13">
        <v>7</v>
      </c>
      <c r="R13" s="258" t="s">
        <v>321</v>
      </c>
      <c r="S13">
        <f t="shared" si="4"/>
        <v>168</v>
      </c>
      <c r="T13" s="265"/>
      <c r="U13" s="265"/>
    </row>
    <row r="14" spans="1:21" x14ac:dyDescent="0.25">
      <c r="A14">
        <f t="shared" si="0"/>
        <v>0.29166666666666669</v>
      </c>
      <c r="C14" s="260">
        <v>7</v>
      </c>
      <c r="D14" s="261">
        <f>Data!$C$3*'Diurnal flow'!C17*K14</f>
        <v>123581.21613386353</v>
      </c>
      <c r="E14" s="257">
        <f t="shared" si="1"/>
        <v>420</v>
      </c>
      <c r="F14" s="257">
        <f t="shared" si="1"/>
        <v>34.4</v>
      </c>
      <c r="G14" s="257">
        <f t="shared" si="1"/>
        <v>4.3</v>
      </c>
      <c r="K14">
        <f t="shared" si="2"/>
        <v>1</v>
      </c>
      <c r="L14">
        <f t="shared" si="3"/>
        <v>1</v>
      </c>
      <c r="Q14">
        <v>8</v>
      </c>
      <c r="R14" s="259" t="s">
        <v>325</v>
      </c>
      <c r="S14">
        <f t="shared" si="4"/>
        <v>192</v>
      </c>
      <c r="T14" s="265">
        <v>4</v>
      </c>
      <c r="U14" s="265">
        <v>0.5</v>
      </c>
    </row>
    <row r="15" spans="1:21" x14ac:dyDescent="0.25">
      <c r="A15">
        <f t="shared" si="0"/>
        <v>0.33333333333333331</v>
      </c>
      <c r="C15" s="260">
        <v>8</v>
      </c>
      <c r="D15" s="261">
        <f>Data!$C$3*'Diurnal flow'!C18*K15</f>
        <v>134917.7027563359</v>
      </c>
      <c r="E15" s="257">
        <f t="shared" si="1"/>
        <v>420</v>
      </c>
      <c r="F15" s="257">
        <f t="shared" si="1"/>
        <v>34.4</v>
      </c>
      <c r="G15" s="257">
        <f t="shared" si="1"/>
        <v>4.3</v>
      </c>
      <c r="K15">
        <f t="shared" si="2"/>
        <v>1</v>
      </c>
      <c r="L15">
        <f t="shared" si="3"/>
        <v>1</v>
      </c>
      <c r="Q15">
        <v>9</v>
      </c>
      <c r="R15" s="258" t="s">
        <v>321</v>
      </c>
      <c r="S15">
        <f t="shared" si="4"/>
        <v>216</v>
      </c>
      <c r="T15" s="265">
        <v>2</v>
      </c>
      <c r="U15" s="265">
        <v>0.8</v>
      </c>
    </row>
    <row r="16" spans="1:21" x14ac:dyDescent="0.25">
      <c r="A16">
        <f t="shared" si="0"/>
        <v>0.375</v>
      </c>
      <c r="C16" s="260">
        <v>9</v>
      </c>
      <c r="D16" s="261">
        <f>Data!$C$3*'Diurnal flow'!C19*K16</f>
        <v>145838.54904643274</v>
      </c>
      <c r="E16" s="257">
        <f t="shared" si="1"/>
        <v>420</v>
      </c>
      <c r="F16" s="257">
        <f t="shared" si="1"/>
        <v>34.4</v>
      </c>
      <c r="G16" s="257">
        <f t="shared" si="1"/>
        <v>4.3</v>
      </c>
      <c r="K16">
        <f t="shared" si="2"/>
        <v>1</v>
      </c>
      <c r="L16">
        <f t="shared" si="3"/>
        <v>1</v>
      </c>
      <c r="Q16">
        <v>10</v>
      </c>
      <c r="R16" s="258" t="s">
        <v>321</v>
      </c>
      <c r="S16">
        <f t="shared" si="4"/>
        <v>240</v>
      </c>
      <c r="T16" s="265"/>
      <c r="U16" s="265"/>
    </row>
    <row r="17" spans="1:21" x14ac:dyDescent="0.25">
      <c r="A17">
        <f t="shared" si="0"/>
        <v>0.41666666666666669</v>
      </c>
      <c r="C17" s="260">
        <v>10</v>
      </c>
      <c r="D17" s="261">
        <f>Data!$C$3*'Diurnal flow'!C20*K17</f>
        <v>154453.8620161094</v>
      </c>
      <c r="E17" s="257">
        <f t="shared" si="1"/>
        <v>420</v>
      </c>
      <c r="F17" s="257">
        <f t="shared" si="1"/>
        <v>34.4</v>
      </c>
      <c r="G17" s="257">
        <f t="shared" si="1"/>
        <v>4.3</v>
      </c>
      <c r="K17">
        <f t="shared" si="2"/>
        <v>1</v>
      </c>
      <c r="L17">
        <f t="shared" si="3"/>
        <v>1</v>
      </c>
      <c r="Q17">
        <v>11</v>
      </c>
      <c r="R17" s="258" t="s">
        <v>321</v>
      </c>
      <c r="S17">
        <f t="shared" si="4"/>
        <v>264</v>
      </c>
      <c r="T17" s="265"/>
      <c r="U17" s="265"/>
    </row>
    <row r="18" spans="1:21" x14ac:dyDescent="0.25">
      <c r="A18">
        <f t="shared" si="0"/>
        <v>0.45833333333333331</v>
      </c>
      <c r="C18" s="260">
        <v>11</v>
      </c>
      <c r="D18" s="261">
        <f>Data!$C$3*'Diurnal flow'!C21*K18</f>
        <v>159486.14262675395</v>
      </c>
      <c r="E18" s="257">
        <f t="shared" si="1"/>
        <v>420</v>
      </c>
      <c r="F18" s="257">
        <f t="shared" si="1"/>
        <v>34.4</v>
      </c>
      <c r="G18" s="257">
        <f t="shared" si="1"/>
        <v>4.3</v>
      </c>
      <c r="K18">
        <f t="shared" si="2"/>
        <v>1</v>
      </c>
      <c r="L18">
        <f t="shared" si="3"/>
        <v>1</v>
      </c>
      <c r="Q18">
        <v>12</v>
      </c>
      <c r="R18" s="258" t="s">
        <v>321</v>
      </c>
      <c r="S18">
        <f t="shared" si="4"/>
        <v>288</v>
      </c>
      <c r="T18" s="265"/>
      <c r="U18" s="265"/>
    </row>
    <row r="19" spans="1:21" x14ac:dyDescent="0.25">
      <c r="A19">
        <f t="shared" si="0"/>
        <v>0.5</v>
      </c>
      <c r="C19" s="260">
        <v>12</v>
      </c>
      <c r="D19" s="261">
        <f>Data!$C$3*'Diurnal flow'!C22*K19</f>
        <v>160542.3319198392</v>
      </c>
      <c r="E19" s="257">
        <f t="shared" si="1"/>
        <v>420</v>
      </c>
      <c r="F19" s="257">
        <f t="shared" si="1"/>
        <v>34.4</v>
      </c>
      <c r="G19" s="257">
        <f t="shared" si="1"/>
        <v>4.3</v>
      </c>
      <c r="K19">
        <f t="shared" si="2"/>
        <v>1</v>
      </c>
      <c r="L19">
        <f t="shared" si="3"/>
        <v>1</v>
      </c>
      <c r="Q19">
        <v>13</v>
      </c>
      <c r="R19" s="258" t="s">
        <v>321</v>
      </c>
      <c r="S19">
        <f t="shared" si="4"/>
        <v>312</v>
      </c>
      <c r="T19" s="265"/>
      <c r="U19" s="265"/>
    </row>
    <row r="20" spans="1:21" x14ac:dyDescent="0.25">
      <c r="A20">
        <f t="shared" si="0"/>
        <v>0.54166666666666663</v>
      </c>
      <c r="C20" s="260">
        <v>13</v>
      </c>
      <c r="D20" s="261">
        <f>Data!$C$3*'Diurnal flow'!C23*K20</f>
        <v>158154.02623915239</v>
      </c>
      <c r="E20" s="257">
        <f t="shared" si="1"/>
        <v>420</v>
      </c>
      <c r="F20" s="257">
        <f t="shared" si="1"/>
        <v>34.4</v>
      </c>
      <c r="G20" s="257">
        <f t="shared" si="1"/>
        <v>4.3</v>
      </c>
      <c r="K20">
        <f t="shared" si="2"/>
        <v>1</v>
      </c>
      <c r="L20">
        <f t="shared" si="3"/>
        <v>1</v>
      </c>
      <c r="Q20">
        <v>14</v>
      </c>
      <c r="R20" s="257" t="s">
        <v>324</v>
      </c>
      <c r="S20">
        <f t="shared" si="4"/>
        <v>336</v>
      </c>
      <c r="T20" s="265">
        <v>1</v>
      </c>
      <c r="U20" s="265">
        <v>1</v>
      </c>
    </row>
    <row r="21" spans="1:21" x14ac:dyDescent="0.25">
      <c r="A21">
        <f t="shared" si="0"/>
        <v>0.58333333333333337</v>
      </c>
      <c r="C21" s="260">
        <v>14</v>
      </c>
      <c r="D21" s="261">
        <f>Data!$C$3*'Diurnal flow'!C24*K21</f>
        <v>153579.5226797483</v>
      </c>
      <c r="E21" s="257">
        <f t="shared" si="1"/>
        <v>420</v>
      </c>
      <c r="F21" s="257">
        <f t="shared" si="1"/>
        <v>34.4</v>
      </c>
      <c r="G21" s="257">
        <f t="shared" si="1"/>
        <v>4.3</v>
      </c>
      <c r="K21">
        <f t="shared" si="2"/>
        <v>1</v>
      </c>
      <c r="L21">
        <f t="shared" si="3"/>
        <v>1</v>
      </c>
      <c r="Q21">
        <v>15</v>
      </c>
      <c r="R21" s="257" t="s">
        <v>324</v>
      </c>
      <c r="S21">
        <f t="shared" si="4"/>
        <v>360</v>
      </c>
    </row>
    <row r="22" spans="1:21" x14ac:dyDescent="0.25">
      <c r="A22">
        <f t="shared" si="0"/>
        <v>0.625</v>
      </c>
      <c r="C22" s="260">
        <v>15</v>
      </c>
      <c r="D22" s="261">
        <f>Data!$C$3*'Diurnal flow'!C25*K22</f>
        <v>148424.51969535768</v>
      </c>
      <c r="E22" s="257">
        <f t="shared" si="1"/>
        <v>420</v>
      </c>
      <c r="F22" s="257">
        <f t="shared" si="1"/>
        <v>34.4</v>
      </c>
      <c r="G22" s="257">
        <f t="shared" si="1"/>
        <v>4.3</v>
      </c>
      <c r="K22">
        <f t="shared" si="2"/>
        <v>1</v>
      </c>
      <c r="L22">
        <f t="shared" si="3"/>
        <v>1</v>
      </c>
      <c r="Q22">
        <v>16</v>
      </c>
      <c r="R22" s="257" t="s">
        <v>324</v>
      </c>
      <c r="S22">
        <f t="shared" si="4"/>
        <v>384</v>
      </c>
    </row>
    <row r="23" spans="1:21" x14ac:dyDescent="0.25">
      <c r="A23">
        <f t="shared" si="0"/>
        <v>0.66666666666666663</v>
      </c>
      <c r="C23" s="260">
        <v>16</v>
      </c>
      <c r="D23" s="261">
        <f>Data!$C$3*'Diurnal flow'!C26*K23</f>
        <v>144185.97758124804</v>
      </c>
      <c r="E23" s="257">
        <f t="shared" si="1"/>
        <v>420</v>
      </c>
      <c r="F23" s="257">
        <f t="shared" si="1"/>
        <v>34.4</v>
      </c>
      <c r="G23" s="257">
        <f t="shared" si="1"/>
        <v>4.3</v>
      </c>
      <c r="K23">
        <f t="shared" si="2"/>
        <v>1</v>
      </c>
      <c r="L23">
        <f t="shared" si="3"/>
        <v>1</v>
      </c>
      <c r="Q23">
        <v>17</v>
      </c>
      <c r="R23" t="s">
        <v>326</v>
      </c>
      <c r="S23">
        <f t="shared" si="4"/>
        <v>408</v>
      </c>
    </row>
    <row r="24" spans="1:21" x14ac:dyDescent="0.25">
      <c r="A24">
        <f t="shared" si="0"/>
        <v>0.70833333333333337</v>
      </c>
      <c r="C24" s="260">
        <v>17</v>
      </c>
      <c r="D24" s="261">
        <f>Data!$C$3*'Diurnal flow'!C27*K24</f>
        <v>141843.12567518017</v>
      </c>
      <c r="E24" s="257">
        <f t="shared" si="1"/>
        <v>420</v>
      </c>
      <c r="F24" s="257">
        <f t="shared" si="1"/>
        <v>34.4</v>
      </c>
      <c r="G24" s="257">
        <f t="shared" si="1"/>
        <v>4.3</v>
      </c>
      <c r="K24">
        <f t="shared" si="2"/>
        <v>1</v>
      </c>
      <c r="L24">
        <f t="shared" si="3"/>
        <v>1</v>
      </c>
    </row>
    <row r="25" spans="1:21" x14ac:dyDescent="0.25">
      <c r="A25">
        <f t="shared" si="0"/>
        <v>0.75</v>
      </c>
      <c r="C25" s="260">
        <v>18</v>
      </c>
      <c r="D25" s="261">
        <f>Data!$C$3*'Diurnal flow'!C28*K25</f>
        <v>141605.74281395547</v>
      </c>
      <c r="E25" s="257">
        <f t="shared" si="1"/>
        <v>420</v>
      </c>
      <c r="F25" s="257">
        <f t="shared" si="1"/>
        <v>34.4</v>
      </c>
      <c r="G25" s="257">
        <f t="shared" si="1"/>
        <v>4.3</v>
      </c>
      <c r="K25">
        <f t="shared" si="2"/>
        <v>1</v>
      </c>
      <c r="L25">
        <f t="shared" si="3"/>
        <v>1</v>
      </c>
    </row>
    <row r="26" spans="1:21" x14ac:dyDescent="0.25">
      <c r="A26">
        <f t="shared" si="0"/>
        <v>0.79166666666666663</v>
      </c>
      <c r="C26" s="260">
        <v>19</v>
      </c>
      <c r="D26" s="261">
        <f>Data!$C$3*'Diurnal flow'!C29*K26</f>
        <v>142886.43234859695</v>
      </c>
      <c r="E26" s="257">
        <f t="shared" si="1"/>
        <v>420</v>
      </c>
      <c r="F26" s="257">
        <f t="shared" si="1"/>
        <v>34.4</v>
      </c>
      <c r="G26" s="257">
        <f t="shared" si="1"/>
        <v>4.3</v>
      </c>
      <c r="K26">
        <f t="shared" si="2"/>
        <v>1</v>
      </c>
      <c r="L26">
        <f t="shared" si="3"/>
        <v>1</v>
      </c>
    </row>
    <row r="27" spans="1:21" x14ac:dyDescent="0.25">
      <c r="A27">
        <f t="shared" si="0"/>
        <v>0.83333333333333337</v>
      </c>
      <c r="C27" s="260">
        <v>20</v>
      </c>
      <c r="D27" s="261">
        <f>Data!$C$3*'Diurnal flow'!C30*K27</f>
        <v>144502.37939398063</v>
      </c>
      <c r="E27" s="257">
        <f t="shared" si="1"/>
        <v>420</v>
      </c>
      <c r="F27" s="257">
        <f t="shared" si="1"/>
        <v>34.4</v>
      </c>
      <c r="G27" s="257">
        <f t="shared" si="1"/>
        <v>4.3</v>
      </c>
      <c r="K27">
        <f t="shared" si="2"/>
        <v>1</v>
      </c>
      <c r="L27">
        <f t="shared" si="3"/>
        <v>1</v>
      </c>
    </row>
    <row r="28" spans="1:21" x14ac:dyDescent="0.25">
      <c r="A28">
        <f t="shared" si="0"/>
        <v>0.875</v>
      </c>
      <c r="C28" s="260">
        <v>21</v>
      </c>
      <c r="D28" s="261">
        <f>Data!$C$3*'Diurnal flow'!C31*K28</f>
        <v>145049.50623356036</v>
      </c>
      <c r="E28" s="257">
        <f t="shared" si="1"/>
        <v>420</v>
      </c>
      <c r="F28" s="257">
        <f t="shared" si="1"/>
        <v>34.4</v>
      </c>
      <c r="G28" s="257">
        <f t="shared" si="1"/>
        <v>4.3</v>
      </c>
      <c r="K28">
        <f t="shared" si="2"/>
        <v>1</v>
      </c>
      <c r="L28">
        <f t="shared" si="3"/>
        <v>1</v>
      </c>
    </row>
    <row r="29" spans="1:21" x14ac:dyDescent="0.25">
      <c r="A29">
        <f t="shared" si="0"/>
        <v>0.91666666666666663</v>
      </c>
      <c r="C29" s="260">
        <v>22</v>
      </c>
      <c r="D29" s="261">
        <f>Data!$C$3*'Diurnal flow'!C32*K29</f>
        <v>143344.87171646225</v>
      </c>
      <c r="E29" s="257">
        <f t="shared" si="1"/>
        <v>420</v>
      </c>
      <c r="F29" s="257">
        <f t="shared" si="1"/>
        <v>34.4</v>
      </c>
      <c r="G29" s="257">
        <f t="shared" si="1"/>
        <v>4.3</v>
      </c>
      <c r="K29">
        <f t="shared" si="2"/>
        <v>1</v>
      </c>
      <c r="L29">
        <f t="shared" si="3"/>
        <v>1</v>
      </c>
    </row>
    <row r="30" spans="1:21" x14ac:dyDescent="0.25">
      <c r="A30">
        <f t="shared" si="0"/>
        <v>0.95833333333333337</v>
      </c>
      <c r="C30" s="260">
        <v>23</v>
      </c>
      <c r="D30" s="261">
        <f>Data!$C$3*'Diurnal flow'!C33*K30</f>
        <v>138814.26417077854</v>
      </c>
      <c r="E30" s="257">
        <f t="shared" si="1"/>
        <v>420</v>
      </c>
      <c r="F30" s="257">
        <f t="shared" si="1"/>
        <v>34.4</v>
      </c>
      <c r="G30" s="257">
        <f t="shared" si="1"/>
        <v>4.3</v>
      </c>
      <c r="K30">
        <f t="shared" si="2"/>
        <v>1</v>
      </c>
      <c r="L30">
        <f t="shared" si="3"/>
        <v>1</v>
      </c>
    </row>
    <row r="31" spans="1:21" x14ac:dyDescent="0.25">
      <c r="A31">
        <f t="shared" si="0"/>
        <v>1</v>
      </c>
      <c r="C31" s="260">
        <v>24</v>
      </c>
      <c r="D31" s="261">
        <f>D7*K31</f>
        <v>131716.31966241612</v>
      </c>
      <c r="E31" s="257">
        <f t="shared" si="1"/>
        <v>420</v>
      </c>
      <c r="F31" s="257">
        <f t="shared" si="1"/>
        <v>34.4</v>
      </c>
      <c r="G31" s="257">
        <f t="shared" si="1"/>
        <v>4.3</v>
      </c>
      <c r="K31">
        <f t="shared" si="2"/>
        <v>1</v>
      </c>
      <c r="L31">
        <f t="shared" si="3"/>
        <v>1</v>
      </c>
    </row>
    <row r="32" spans="1:21" x14ac:dyDescent="0.25">
      <c r="A32">
        <f t="shared" si="0"/>
        <v>1.0416666666666667</v>
      </c>
      <c r="C32" s="260">
        <v>25</v>
      </c>
      <c r="D32" s="261">
        <f t="shared" ref="D32:D95" si="5">D8*K32</f>
        <v>123138.32527838717</v>
      </c>
      <c r="E32" s="257">
        <f t="shared" si="1"/>
        <v>420</v>
      </c>
      <c r="F32" s="257">
        <f t="shared" si="1"/>
        <v>34.4</v>
      </c>
      <c r="G32" s="257">
        <f t="shared" si="1"/>
        <v>4.3</v>
      </c>
      <c r="K32">
        <f t="shared" si="2"/>
        <v>1</v>
      </c>
      <c r="L32">
        <f t="shared" si="3"/>
        <v>1</v>
      </c>
    </row>
    <row r="33" spans="1:12" x14ac:dyDescent="0.25">
      <c r="A33">
        <f t="shared" si="0"/>
        <v>1.0833333333333333</v>
      </c>
      <c r="C33" s="260">
        <v>26</v>
      </c>
      <c r="D33" s="261">
        <f t="shared" si="5"/>
        <v>114760.39516993523</v>
      </c>
      <c r="E33" s="257">
        <f t="shared" si="1"/>
        <v>420</v>
      </c>
      <c r="F33" s="257">
        <f t="shared" si="1"/>
        <v>34.4</v>
      </c>
      <c r="G33" s="257">
        <f t="shared" si="1"/>
        <v>4.3</v>
      </c>
      <c r="K33">
        <f t="shared" si="2"/>
        <v>1</v>
      </c>
      <c r="L33">
        <f t="shared" si="3"/>
        <v>1</v>
      </c>
    </row>
    <row r="34" spans="1:12" x14ac:dyDescent="0.25">
      <c r="A34">
        <f t="shared" si="0"/>
        <v>1.125</v>
      </c>
      <c r="C34" s="260">
        <v>27</v>
      </c>
      <c r="D34" s="261">
        <f t="shared" si="5"/>
        <v>108447.42502464916</v>
      </c>
      <c r="E34" s="257">
        <f t="shared" si="1"/>
        <v>420</v>
      </c>
      <c r="F34" s="257">
        <f t="shared" si="1"/>
        <v>34.4</v>
      </c>
      <c r="G34" s="257">
        <f t="shared" si="1"/>
        <v>4.3</v>
      </c>
      <c r="K34">
        <f t="shared" si="2"/>
        <v>1</v>
      </c>
      <c r="L34">
        <f t="shared" si="3"/>
        <v>1</v>
      </c>
    </row>
    <row r="35" spans="1:12" x14ac:dyDescent="0.25">
      <c r="A35">
        <f t="shared" si="0"/>
        <v>1.1666666666666667</v>
      </c>
      <c r="C35" s="260">
        <v>28</v>
      </c>
      <c r="D35" s="261">
        <f t="shared" si="5"/>
        <v>105775.28868618018</v>
      </c>
      <c r="E35" s="257">
        <f t="shared" si="1"/>
        <v>420</v>
      </c>
      <c r="F35" s="257">
        <f t="shared" si="1"/>
        <v>34.4</v>
      </c>
      <c r="G35" s="257">
        <f t="shared" si="1"/>
        <v>4.3</v>
      </c>
      <c r="K35">
        <f t="shared" si="2"/>
        <v>1</v>
      </c>
      <c r="L35">
        <f t="shared" si="3"/>
        <v>1</v>
      </c>
    </row>
    <row r="36" spans="1:12" x14ac:dyDescent="0.25">
      <c r="A36">
        <f t="shared" si="0"/>
        <v>1.2083333333333333</v>
      </c>
      <c r="C36" s="260">
        <v>29</v>
      </c>
      <c r="D36" s="261">
        <f t="shared" si="5"/>
        <v>107616.46752728715</v>
      </c>
      <c r="E36" s="257">
        <f t="shared" si="1"/>
        <v>420</v>
      </c>
      <c r="F36" s="257">
        <f t="shared" si="1"/>
        <v>34.4</v>
      </c>
      <c r="G36" s="257">
        <f t="shared" si="1"/>
        <v>4.3</v>
      </c>
      <c r="K36">
        <f t="shared" si="2"/>
        <v>1</v>
      </c>
      <c r="L36">
        <f t="shared" si="3"/>
        <v>1</v>
      </c>
    </row>
    <row r="37" spans="1:12" x14ac:dyDescent="0.25">
      <c r="A37">
        <f t="shared" si="0"/>
        <v>1.25</v>
      </c>
      <c r="C37" s="260">
        <v>30</v>
      </c>
      <c r="D37" s="261">
        <f t="shared" si="5"/>
        <v>113895.6056037893</v>
      </c>
      <c r="E37" s="257">
        <f t="shared" si="1"/>
        <v>420</v>
      </c>
      <c r="F37" s="257">
        <f t="shared" si="1"/>
        <v>34.4</v>
      </c>
      <c r="G37" s="257">
        <f t="shared" si="1"/>
        <v>4.3</v>
      </c>
      <c r="K37">
        <f t="shared" si="2"/>
        <v>1</v>
      </c>
      <c r="L37">
        <f t="shared" si="3"/>
        <v>1</v>
      </c>
    </row>
    <row r="38" spans="1:12" x14ac:dyDescent="0.25">
      <c r="A38">
        <f t="shared" si="0"/>
        <v>1.2916666666666667</v>
      </c>
      <c r="C38" s="260">
        <v>31</v>
      </c>
      <c r="D38" s="261">
        <f t="shared" si="5"/>
        <v>123581.21613386353</v>
      </c>
      <c r="E38" s="257">
        <f t="shared" si="1"/>
        <v>420</v>
      </c>
      <c r="F38" s="257">
        <f t="shared" si="1"/>
        <v>34.4</v>
      </c>
      <c r="G38" s="257">
        <f t="shared" si="1"/>
        <v>4.3</v>
      </c>
      <c r="K38">
        <f t="shared" si="2"/>
        <v>1</v>
      </c>
      <c r="L38">
        <f t="shared" si="3"/>
        <v>1</v>
      </c>
    </row>
    <row r="39" spans="1:12" x14ac:dyDescent="0.25">
      <c r="A39">
        <f t="shared" si="0"/>
        <v>1.3333333333333333</v>
      </c>
      <c r="C39" s="260">
        <v>32</v>
      </c>
      <c r="D39" s="261">
        <f t="shared" si="5"/>
        <v>134917.7027563359</v>
      </c>
      <c r="E39" s="257">
        <f t="shared" si="1"/>
        <v>420</v>
      </c>
      <c r="F39" s="257">
        <f t="shared" si="1"/>
        <v>34.4</v>
      </c>
      <c r="G39" s="257">
        <f t="shared" si="1"/>
        <v>4.3</v>
      </c>
      <c r="K39">
        <f t="shared" si="2"/>
        <v>1</v>
      </c>
      <c r="L39">
        <f t="shared" si="3"/>
        <v>1</v>
      </c>
    </row>
    <row r="40" spans="1:12" x14ac:dyDescent="0.25">
      <c r="A40">
        <f t="shared" si="0"/>
        <v>1.375</v>
      </c>
      <c r="C40" s="260">
        <v>33</v>
      </c>
      <c r="D40" s="261">
        <f t="shared" si="5"/>
        <v>145838.54904643274</v>
      </c>
      <c r="E40" s="257">
        <f t="shared" si="1"/>
        <v>420</v>
      </c>
      <c r="F40" s="257">
        <f t="shared" si="1"/>
        <v>34.4</v>
      </c>
      <c r="G40" s="257">
        <f t="shared" si="1"/>
        <v>4.3</v>
      </c>
      <c r="K40">
        <f t="shared" si="2"/>
        <v>1</v>
      </c>
      <c r="L40">
        <f t="shared" si="3"/>
        <v>1</v>
      </c>
    </row>
    <row r="41" spans="1:12" x14ac:dyDescent="0.25">
      <c r="A41">
        <f t="shared" si="0"/>
        <v>1.4166666666666667</v>
      </c>
      <c r="C41" s="260">
        <v>34</v>
      </c>
      <c r="D41" s="261">
        <f t="shared" si="5"/>
        <v>154453.8620161094</v>
      </c>
      <c r="E41" s="257">
        <f t="shared" si="1"/>
        <v>420</v>
      </c>
      <c r="F41" s="257">
        <f t="shared" si="1"/>
        <v>34.4</v>
      </c>
      <c r="G41" s="257">
        <f t="shared" si="1"/>
        <v>4.3</v>
      </c>
      <c r="K41">
        <f t="shared" si="2"/>
        <v>1</v>
      </c>
      <c r="L41">
        <f t="shared" si="3"/>
        <v>1</v>
      </c>
    </row>
    <row r="42" spans="1:12" x14ac:dyDescent="0.25">
      <c r="A42">
        <f t="shared" si="0"/>
        <v>1.4583333333333333</v>
      </c>
      <c r="C42" s="260">
        <v>35</v>
      </c>
      <c r="D42" s="261">
        <f t="shared" si="5"/>
        <v>159486.14262675395</v>
      </c>
      <c r="E42" s="257">
        <f t="shared" si="1"/>
        <v>420</v>
      </c>
      <c r="F42" s="257">
        <f t="shared" si="1"/>
        <v>34.4</v>
      </c>
      <c r="G42" s="257">
        <f t="shared" si="1"/>
        <v>4.3</v>
      </c>
      <c r="K42">
        <f t="shared" si="2"/>
        <v>1</v>
      </c>
      <c r="L42">
        <f t="shared" si="3"/>
        <v>1</v>
      </c>
    </row>
    <row r="43" spans="1:12" x14ac:dyDescent="0.25">
      <c r="A43">
        <f t="shared" si="0"/>
        <v>1.5</v>
      </c>
      <c r="C43" s="260">
        <v>36</v>
      </c>
      <c r="D43" s="261">
        <f t="shared" si="5"/>
        <v>160542.3319198392</v>
      </c>
      <c r="E43" s="257">
        <f t="shared" si="1"/>
        <v>420</v>
      </c>
      <c r="F43" s="257">
        <f t="shared" si="1"/>
        <v>34.4</v>
      </c>
      <c r="G43" s="257">
        <f t="shared" si="1"/>
        <v>4.3</v>
      </c>
      <c r="K43">
        <f t="shared" si="2"/>
        <v>1</v>
      </c>
      <c r="L43">
        <f t="shared" si="3"/>
        <v>1</v>
      </c>
    </row>
    <row r="44" spans="1:12" x14ac:dyDescent="0.25">
      <c r="A44">
        <f t="shared" si="0"/>
        <v>1.5416666666666667</v>
      </c>
      <c r="C44" s="260">
        <v>37</v>
      </c>
      <c r="D44" s="261">
        <f t="shared" si="5"/>
        <v>158154.02623915239</v>
      </c>
      <c r="E44" s="257">
        <f t="shared" si="1"/>
        <v>420</v>
      </c>
      <c r="F44" s="257">
        <f t="shared" si="1"/>
        <v>34.4</v>
      </c>
      <c r="G44" s="257">
        <f t="shared" si="1"/>
        <v>4.3</v>
      </c>
      <c r="K44">
        <f t="shared" si="2"/>
        <v>1</v>
      </c>
      <c r="L44">
        <f t="shared" si="3"/>
        <v>1</v>
      </c>
    </row>
    <row r="45" spans="1:12" x14ac:dyDescent="0.25">
      <c r="A45">
        <f t="shared" si="0"/>
        <v>1.5833333333333333</v>
      </c>
      <c r="C45" s="260">
        <v>38</v>
      </c>
      <c r="D45" s="261">
        <f t="shared" si="5"/>
        <v>153579.5226797483</v>
      </c>
      <c r="E45" s="257">
        <f t="shared" si="1"/>
        <v>420</v>
      </c>
      <c r="F45" s="257">
        <f t="shared" si="1"/>
        <v>34.4</v>
      </c>
      <c r="G45" s="257">
        <f t="shared" si="1"/>
        <v>4.3</v>
      </c>
      <c r="K45">
        <f t="shared" si="2"/>
        <v>1</v>
      </c>
      <c r="L45">
        <f t="shared" si="3"/>
        <v>1</v>
      </c>
    </row>
    <row r="46" spans="1:12" x14ac:dyDescent="0.25">
      <c r="A46">
        <f t="shared" si="0"/>
        <v>1.625</v>
      </c>
      <c r="C46" s="260">
        <v>39</v>
      </c>
      <c r="D46" s="261">
        <f t="shared" si="5"/>
        <v>148424.51969535768</v>
      </c>
      <c r="E46" s="257">
        <f t="shared" si="1"/>
        <v>420</v>
      </c>
      <c r="F46" s="257">
        <f t="shared" si="1"/>
        <v>34.4</v>
      </c>
      <c r="G46" s="257">
        <f t="shared" si="1"/>
        <v>4.3</v>
      </c>
      <c r="K46">
        <f t="shared" si="2"/>
        <v>1</v>
      </c>
      <c r="L46">
        <f t="shared" si="3"/>
        <v>1</v>
      </c>
    </row>
    <row r="47" spans="1:12" x14ac:dyDescent="0.25">
      <c r="A47">
        <f t="shared" si="0"/>
        <v>1.6666666666666667</v>
      </c>
      <c r="C47" s="260">
        <v>40</v>
      </c>
      <c r="D47" s="261">
        <f t="shared" si="5"/>
        <v>144185.97758124804</v>
      </c>
      <c r="E47" s="257">
        <f t="shared" si="1"/>
        <v>420</v>
      </c>
      <c r="F47" s="257">
        <f t="shared" si="1"/>
        <v>34.4</v>
      </c>
      <c r="G47" s="257">
        <f t="shared" si="1"/>
        <v>4.3</v>
      </c>
      <c r="K47">
        <f t="shared" si="2"/>
        <v>1</v>
      </c>
      <c r="L47">
        <f t="shared" si="3"/>
        <v>1</v>
      </c>
    </row>
    <row r="48" spans="1:12" x14ac:dyDescent="0.25">
      <c r="A48">
        <f t="shared" si="0"/>
        <v>1.7083333333333333</v>
      </c>
      <c r="C48" s="260">
        <v>41</v>
      </c>
      <c r="D48" s="261">
        <f t="shared" si="5"/>
        <v>141843.12567518017</v>
      </c>
      <c r="E48" s="257">
        <f t="shared" ref="E48:G48" si="6">E$3*$L48</f>
        <v>420</v>
      </c>
      <c r="F48" s="257">
        <f t="shared" si="6"/>
        <v>34.4</v>
      </c>
      <c r="G48" s="257">
        <f t="shared" si="6"/>
        <v>4.3</v>
      </c>
      <c r="K48">
        <f t="shared" si="2"/>
        <v>1</v>
      </c>
      <c r="L48">
        <f t="shared" si="3"/>
        <v>1</v>
      </c>
    </row>
    <row r="49" spans="1:12" x14ac:dyDescent="0.25">
      <c r="A49">
        <f t="shared" si="0"/>
        <v>1.75</v>
      </c>
      <c r="C49" s="260">
        <v>42</v>
      </c>
      <c r="D49" s="261">
        <f t="shared" si="5"/>
        <v>141605.74281395547</v>
      </c>
      <c r="E49" s="257">
        <f t="shared" si="1"/>
        <v>420</v>
      </c>
      <c r="F49" s="257">
        <f t="shared" si="1"/>
        <v>34.4</v>
      </c>
      <c r="G49" s="257">
        <f t="shared" si="1"/>
        <v>4.3</v>
      </c>
      <c r="K49">
        <f t="shared" si="2"/>
        <v>1</v>
      </c>
      <c r="L49">
        <f t="shared" si="3"/>
        <v>1</v>
      </c>
    </row>
    <row r="50" spans="1:12" x14ac:dyDescent="0.25">
      <c r="A50">
        <f t="shared" si="0"/>
        <v>1.7916666666666667</v>
      </c>
      <c r="C50" s="260">
        <v>43</v>
      </c>
      <c r="D50" s="261">
        <f t="shared" si="5"/>
        <v>142886.43234859695</v>
      </c>
      <c r="E50" s="257">
        <f t="shared" ref="E50:G103" si="7">E$3*$L50</f>
        <v>420</v>
      </c>
      <c r="F50" s="257">
        <f t="shared" si="7"/>
        <v>34.4</v>
      </c>
      <c r="G50" s="257">
        <f t="shared" si="7"/>
        <v>4.3</v>
      </c>
      <c r="K50">
        <f t="shared" si="2"/>
        <v>1</v>
      </c>
      <c r="L50">
        <f t="shared" si="3"/>
        <v>1</v>
      </c>
    </row>
    <row r="51" spans="1:12" x14ac:dyDescent="0.25">
      <c r="A51">
        <f t="shared" si="0"/>
        <v>1.8333333333333333</v>
      </c>
      <c r="C51" s="260">
        <v>44</v>
      </c>
      <c r="D51" s="261">
        <f t="shared" si="5"/>
        <v>144502.37939398063</v>
      </c>
      <c r="E51" s="257">
        <f t="shared" si="7"/>
        <v>420</v>
      </c>
      <c r="F51" s="257">
        <f t="shared" si="7"/>
        <v>34.4</v>
      </c>
      <c r="G51" s="257">
        <f t="shared" si="7"/>
        <v>4.3</v>
      </c>
      <c r="K51">
        <f t="shared" si="2"/>
        <v>1</v>
      </c>
      <c r="L51">
        <f t="shared" si="3"/>
        <v>1</v>
      </c>
    </row>
    <row r="52" spans="1:12" x14ac:dyDescent="0.25">
      <c r="A52">
        <f t="shared" si="0"/>
        <v>1.875</v>
      </c>
      <c r="C52" s="260">
        <v>45</v>
      </c>
      <c r="D52" s="261">
        <f t="shared" si="5"/>
        <v>145049.50623356036</v>
      </c>
      <c r="E52" s="257">
        <f t="shared" si="7"/>
        <v>420</v>
      </c>
      <c r="F52" s="257">
        <f t="shared" si="7"/>
        <v>34.4</v>
      </c>
      <c r="G52" s="257">
        <f t="shared" si="7"/>
        <v>4.3</v>
      </c>
      <c r="K52">
        <f t="shared" si="2"/>
        <v>1</v>
      </c>
      <c r="L52">
        <f t="shared" si="3"/>
        <v>1</v>
      </c>
    </row>
    <row r="53" spans="1:12" x14ac:dyDescent="0.25">
      <c r="A53">
        <f t="shared" si="0"/>
        <v>1.9166666666666667</v>
      </c>
      <c r="C53" s="260">
        <v>46</v>
      </c>
      <c r="D53" s="261">
        <f t="shared" si="5"/>
        <v>143344.87171646225</v>
      </c>
      <c r="E53" s="257">
        <f t="shared" si="7"/>
        <v>420</v>
      </c>
      <c r="F53" s="257">
        <f t="shared" si="7"/>
        <v>34.4</v>
      </c>
      <c r="G53" s="257">
        <f t="shared" si="7"/>
        <v>4.3</v>
      </c>
      <c r="K53">
        <f t="shared" si="2"/>
        <v>1</v>
      </c>
      <c r="L53">
        <f t="shared" si="3"/>
        <v>1</v>
      </c>
    </row>
    <row r="54" spans="1:12" x14ac:dyDescent="0.25">
      <c r="A54">
        <f t="shared" si="0"/>
        <v>1.9583333333333333</v>
      </c>
      <c r="C54" s="260">
        <v>47</v>
      </c>
      <c r="D54" s="261">
        <f t="shared" si="5"/>
        <v>138814.26417077854</v>
      </c>
      <c r="E54" s="257">
        <f t="shared" si="7"/>
        <v>420</v>
      </c>
      <c r="F54" s="257">
        <f t="shared" si="7"/>
        <v>34.4</v>
      </c>
      <c r="G54" s="257">
        <f t="shared" si="7"/>
        <v>4.3</v>
      </c>
      <c r="K54">
        <f t="shared" si="2"/>
        <v>1</v>
      </c>
      <c r="L54">
        <f t="shared" si="3"/>
        <v>1</v>
      </c>
    </row>
    <row r="55" spans="1:12" x14ac:dyDescent="0.25">
      <c r="A55">
        <f t="shared" si="0"/>
        <v>2</v>
      </c>
      <c r="C55" s="260">
        <v>48</v>
      </c>
      <c r="D55" s="261">
        <f t="shared" si="5"/>
        <v>131716.31966241612</v>
      </c>
      <c r="E55" s="257">
        <f t="shared" si="7"/>
        <v>420</v>
      </c>
      <c r="F55" s="257">
        <f t="shared" si="7"/>
        <v>34.4</v>
      </c>
      <c r="G55" s="257">
        <f t="shared" si="7"/>
        <v>4.3</v>
      </c>
      <c r="K55">
        <f t="shared" si="2"/>
        <v>1</v>
      </c>
      <c r="L55">
        <f t="shared" si="3"/>
        <v>1</v>
      </c>
    </row>
    <row r="56" spans="1:12" x14ac:dyDescent="0.25">
      <c r="A56">
        <f t="shared" si="0"/>
        <v>2.0416666666666665</v>
      </c>
      <c r="C56" s="260">
        <v>49</v>
      </c>
      <c r="D56" s="261">
        <f t="shared" si="5"/>
        <v>123138.32527838717</v>
      </c>
      <c r="E56" s="257">
        <f t="shared" si="7"/>
        <v>420</v>
      </c>
      <c r="F56" s="257">
        <f t="shared" si="7"/>
        <v>34.4</v>
      </c>
      <c r="G56" s="257">
        <f t="shared" si="7"/>
        <v>4.3</v>
      </c>
      <c r="K56">
        <f t="shared" si="2"/>
        <v>1</v>
      </c>
      <c r="L56">
        <f t="shared" si="3"/>
        <v>1</v>
      </c>
    </row>
    <row r="57" spans="1:12" x14ac:dyDescent="0.25">
      <c r="A57">
        <f t="shared" si="0"/>
        <v>2.0833333333333335</v>
      </c>
      <c r="C57" s="260">
        <v>50</v>
      </c>
      <c r="D57" s="261">
        <f t="shared" si="5"/>
        <v>114760.39516993523</v>
      </c>
      <c r="E57" s="257">
        <f t="shared" si="7"/>
        <v>420</v>
      </c>
      <c r="F57" s="257">
        <f t="shared" si="7"/>
        <v>34.4</v>
      </c>
      <c r="G57" s="257">
        <f t="shared" si="7"/>
        <v>4.3</v>
      </c>
      <c r="K57">
        <f t="shared" si="2"/>
        <v>1</v>
      </c>
      <c r="L57">
        <f t="shared" si="3"/>
        <v>1</v>
      </c>
    </row>
    <row r="58" spans="1:12" x14ac:dyDescent="0.25">
      <c r="A58">
        <f t="shared" si="0"/>
        <v>2.125</v>
      </c>
      <c r="C58" s="260">
        <v>51</v>
      </c>
      <c r="D58" s="261">
        <f t="shared" si="5"/>
        <v>108447.42502464916</v>
      </c>
      <c r="E58" s="257">
        <f t="shared" si="7"/>
        <v>420</v>
      </c>
      <c r="F58" s="257">
        <f t="shared" si="7"/>
        <v>34.4</v>
      </c>
      <c r="G58" s="257">
        <f t="shared" si="7"/>
        <v>4.3</v>
      </c>
      <c r="K58">
        <f t="shared" si="2"/>
        <v>1</v>
      </c>
      <c r="L58">
        <f t="shared" si="3"/>
        <v>1</v>
      </c>
    </row>
    <row r="59" spans="1:12" x14ac:dyDescent="0.25">
      <c r="A59">
        <f t="shared" si="0"/>
        <v>2.1666666666666665</v>
      </c>
      <c r="C59" s="260">
        <v>52</v>
      </c>
      <c r="D59" s="261">
        <f t="shared" si="5"/>
        <v>105775.28868618018</v>
      </c>
      <c r="E59" s="257">
        <f t="shared" si="7"/>
        <v>420</v>
      </c>
      <c r="F59" s="257">
        <f t="shared" si="7"/>
        <v>34.4</v>
      </c>
      <c r="G59" s="257">
        <f t="shared" si="7"/>
        <v>4.3</v>
      </c>
      <c r="K59">
        <f t="shared" si="2"/>
        <v>1</v>
      </c>
      <c r="L59">
        <f t="shared" si="3"/>
        <v>1</v>
      </c>
    </row>
    <row r="60" spans="1:12" x14ac:dyDescent="0.25">
      <c r="A60">
        <f t="shared" si="0"/>
        <v>2.2083333333333335</v>
      </c>
      <c r="C60" s="260">
        <v>53</v>
      </c>
      <c r="D60" s="261">
        <f t="shared" si="5"/>
        <v>107616.46752728715</v>
      </c>
      <c r="E60" s="257">
        <f t="shared" si="7"/>
        <v>420</v>
      </c>
      <c r="F60" s="257">
        <f t="shared" si="7"/>
        <v>34.4</v>
      </c>
      <c r="G60" s="257">
        <f t="shared" si="7"/>
        <v>4.3</v>
      </c>
      <c r="K60">
        <f t="shared" si="2"/>
        <v>1</v>
      </c>
      <c r="L60">
        <f t="shared" si="3"/>
        <v>1</v>
      </c>
    </row>
    <row r="61" spans="1:12" x14ac:dyDescent="0.25">
      <c r="A61">
        <f t="shared" si="0"/>
        <v>2.25</v>
      </c>
      <c r="C61" s="260">
        <v>54</v>
      </c>
      <c r="D61" s="261">
        <f t="shared" si="5"/>
        <v>113895.6056037893</v>
      </c>
      <c r="E61" s="257">
        <f t="shared" si="7"/>
        <v>420</v>
      </c>
      <c r="F61" s="257">
        <f t="shared" si="7"/>
        <v>34.4</v>
      </c>
      <c r="G61" s="257">
        <f t="shared" si="7"/>
        <v>4.3</v>
      </c>
      <c r="K61">
        <f t="shared" si="2"/>
        <v>1</v>
      </c>
      <c r="L61">
        <f t="shared" si="3"/>
        <v>1</v>
      </c>
    </row>
    <row r="62" spans="1:12" x14ac:dyDescent="0.25">
      <c r="A62">
        <f t="shared" si="0"/>
        <v>2.2916666666666665</v>
      </c>
      <c r="C62" s="260">
        <v>55</v>
      </c>
      <c r="D62" s="261">
        <f t="shared" si="5"/>
        <v>123581.21613386353</v>
      </c>
      <c r="E62" s="257">
        <f t="shared" si="7"/>
        <v>420</v>
      </c>
      <c r="F62" s="257">
        <f t="shared" si="7"/>
        <v>34.4</v>
      </c>
      <c r="G62" s="257">
        <f t="shared" si="7"/>
        <v>4.3</v>
      </c>
      <c r="K62">
        <f t="shared" si="2"/>
        <v>1</v>
      </c>
      <c r="L62">
        <f t="shared" si="3"/>
        <v>1</v>
      </c>
    </row>
    <row r="63" spans="1:12" x14ac:dyDescent="0.25">
      <c r="A63">
        <f t="shared" si="0"/>
        <v>2.3333333333333335</v>
      </c>
      <c r="C63" s="260">
        <v>56</v>
      </c>
      <c r="D63" s="261">
        <f t="shared" si="5"/>
        <v>134917.7027563359</v>
      </c>
      <c r="E63" s="257">
        <f t="shared" si="7"/>
        <v>420</v>
      </c>
      <c r="F63" s="257">
        <f t="shared" si="7"/>
        <v>34.4</v>
      </c>
      <c r="G63" s="257">
        <f t="shared" si="7"/>
        <v>4.3</v>
      </c>
      <c r="K63">
        <f t="shared" si="2"/>
        <v>1</v>
      </c>
      <c r="L63">
        <f t="shared" si="3"/>
        <v>1</v>
      </c>
    </row>
    <row r="64" spans="1:12" x14ac:dyDescent="0.25">
      <c r="A64">
        <f t="shared" si="0"/>
        <v>2.375</v>
      </c>
      <c r="C64" s="260">
        <v>57</v>
      </c>
      <c r="D64" s="261">
        <f t="shared" si="5"/>
        <v>145838.54904643274</v>
      </c>
      <c r="E64" s="257">
        <f t="shared" si="7"/>
        <v>420</v>
      </c>
      <c r="F64" s="257">
        <f t="shared" si="7"/>
        <v>34.4</v>
      </c>
      <c r="G64" s="257">
        <f t="shared" si="7"/>
        <v>4.3</v>
      </c>
      <c r="K64">
        <f t="shared" si="2"/>
        <v>1</v>
      </c>
      <c r="L64">
        <f t="shared" si="3"/>
        <v>1</v>
      </c>
    </row>
    <row r="65" spans="1:14" x14ac:dyDescent="0.25">
      <c r="A65">
        <f t="shared" si="0"/>
        <v>2.4166666666666665</v>
      </c>
      <c r="C65" s="260">
        <v>58</v>
      </c>
      <c r="D65" s="261">
        <f t="shared" si="5"/>
        <v>154453.8620161094</v>
      </c>
      <c r="E65" s="257">
        <f t="shared" si="7"/>
        <v>420</v>
      </c>
      <c r="F65" s="257">
        <f t="shared" si="7"/>
        <v>34.4</v>
      </c>
      <c r="G65" s="257">
        <f t="shared" si="7"/>
        <v>4.3</v>
      </c>
      <c r="K65">
        <f t="shared" si="2"/>
        <v>1</v>
      </c>
      <c r="L65">
        <f t="shared" si="3"/>
        <v>1</v>
      </c>
    </row>
    <row r="66" spans="1:14" x14ac:dyDescent="0.25">
      <c r="A66">
        <f t="shared" si="0"/>
        <v>2.4583333333333335</v>
      </c>
      <c r="C66" s="260">
        <v>59</v>
      </c>
      <c r="D66" s="261">
        <f t="shared" si="5"/>
        <v>159486.14262675395</v>
      </c>
      <c r="E66" s="257">
        <f t="shared" si="7"/>
        <v>420</v>
      </c>
      <c r="F66" s="257">
        <f t="shared" si="7"/>
        <v>34.4</v>
      </c>
      <c r="G66" s="257">
        <f t="shared" si="7"/>
        <v>4.3</v>
      </c>
      <c r="K66">
        <f t="shared" si="2"/>
        <v>1</v>
      </c>
      <c r="L66">
        <f t="shared" si="3"/>
        <v>1</v>
      </c>
    </row>
    <row r="67" spans="1:14" x14ac:dyDescent="0.25">
      <c r="A67">
        <f t="shared" si="0"/>
        <v>2.5</v>
      </c>
      <c r="C67" s="260">
        <v>60</v>
      </c>
      <c r="D67" s="261">
        <f t="shared" si="5"/>
        <v>160542.3319198392</v>
      </c>
      <c r="E67" s="257">
        <f t="shared" si="7"/>
        <v>420</v>
      </c>
      <c r="F67" s="257">
        <f t="shared" si="7"/>
        <v>34.4</v>
      </c>
      <c r="G67" s="257">
        <f t="shared" si="7"/>
        <v>4.3</v>
      </c>
      <c r="K67">
        <f t="shared" si="2"/>
        <v>1</v>
      </c>
      <c r="L67">
        <f t="shared" si="3"/>
        <v>1</v>
      </c>
    </row>
    <row r="68" spans="1:14" x14ac:dyDescent="0.25">
      <c r="A68">
        <f t="shared" si="0"/>
        <v>2.5416666666666665</v>
      </c>
      <c r="C68" s="260">
        <v>61</v>
      </c>
      <c r="D68" s="261">
        <f t="shared" si="5"/>
        <v>158154.02623915239</v>
      </c>
      <c r="E68" s="257">
        <f t="shared" si="7"/>
        <v>420</v>
      </c>
      <c r="F68" s="257">
        <f t="shared" si="7"/>
        <v>34.4</v>
      </c>
      <c r="G68" s="257">
        <f t="shared" si="7"/>
        <v>4.3</v>
      </c>
      <c r="K68">
        <f t="shared" si="2"/>
        <v>1</v>
      </c>
      <c r="L68">
        <f t="shared" si="3"/>
        <v>1</v>
      </c>
    </row>
    <row r="69" spans="1:14" x14ac:dyDescent="0.25">
      <c r="A69">
        <f t="shared" si="0"/>
        <v>2.5833333333333335</v>
      </c>
      <c r="C69" s="260">
        <v>62</v>
      </c>
      <c r="D69" s="261">
        <f t="shared" si="5"/>
        <v>153579.5226797483</v>
      </c>
      <c r="E69" s="257">
        <f t="shared" si="7"/>
        <v>420</v>
      </c>
      <c r="F69" s="257">
        <f t="shared" si="7"/>
        <v>34.4</v>
      </c>
      <c r="G69" s="257">
        <f t="shared" si="7"/>
        <v>4.3</v>
      </c>
      <c r="K69">
        <f t="shared" si="2"/>
        <v>1</v>
      </c>
      <c r="L69">
        <f t="shared" si="3"/>
        <v>1</v>
      </c>
    </row>
    <row r="70" spans="1:14" x14ac:dyDescent="0.25">
      <c r="A70">
        <f t="shared" si="0"/>
        <v>2.625</v>
      </c>
      <c r="C70" s="260">
        <v>63</v>
      </c>
      <c r="D70" s="261">
        <f t="shared" si="5"/>
        <v>148424.51969535768</v>
      </c>
      <c r="E70" s="257">
        <f t="shared" si="7"/>
        <v>420</v>
      </c>
      <c r="F70" s="257">
        <f t="shared" si="7"/>
        <v>34.4</v>
      </c>
      <c r="G70" s="257">
        <f t="shared" si="7"/>
        <v>4.3</v>
      </c>
      <c r="K70">
        <f t="shared" si="2"/>
        <v>1</v>
      </c>
      <c r="L70">
        <f t="shared" si="3"/>
        <v>1</v>
      </c>
    </row>
    <row r="71" spans="1:14" x14ac:dyDescent="0.25">
      <c r="A71">
        <f t="shared" si="0"/>
        <v>2.6666666666666665</v>
      </c>
      <c r="C71" s="260">
        <v>64</v>
      </c>
      <c r="D71" s="261">
        <f t="shared" si="5"/>
        <v>144185.97758124804</v>
      </c>
      <c r="E71" s="257">
        <f t="shared" si="7"/>
        <v>420</v>
      </c>
      <c r="F71" s="257">
        <f t="shared" si="7"/>
        <v>34.4</v>
      </c>
      <c r="G71" s="257">
        <f t="shared" si="7"/>
        <v>4.3</v>
      </c>
      <c r="K71">
        <f t="shared" si="2"/>
        <v>1</v>
      </c>
      <c r="L71">
        <f t="shared" si="3"/>
        <v>1</v>
      </c>
    </row>
    <row r="72" spans="1:14" x14ac:dyDescent="0.25">
      <c r="A72">
        <f t="shared" ref="A72:A135" si="8">C72/24</f>
        <v>2.7083333333333335</v>
      </c>
      <c r="C72" s="260">
        <v>65</v>
      </c>
      <c r="D72" s="261">
        <f t="shared" si="5"/>
        <v>141843.12567518017</v>
      </c>
      <c r="E72" s="257">
        <f t="shared" si="7"/>
        <v>420</v>
      </c>
      <c r="F72" s="257">
        <f t="shared" si="7"/>
        <v>34.4</v>
      </c>
      <c r="G72" s="257">
        <f t="shared" si="7"/>
        <v>4.3</v>
      </c>
      <c r="K72">
        <f t="shared" ref="K72:K78" si="9">$T$6</f>
        <v>1</v>
      </c>
      <c r="L72">
        <f t="shared" ref="L72:L78" si="10">$U$6</f>
        <v>1</v>
      </c>
    </row>
    <row r="73" spans="1:14" x14ac:dyDescent="0.25">
      <c r="A73">
        <f t="shared" si="8"/>
        <v>2.75</v>
      </c>
      <c r="C73" s="260">
        <v>66</v>
      </c>
      <c r="D73" s="261">
        <f t="shared" si="5"/>
        <v>141605.74281395547</v>
      </c>
      <c r="E73" s="257">
        <f t="shared" si="7"/>
        <v>420</v>
      </c>
      <c r="F73" s="257">
        <f t="shared" si="7"/>
        <v>34.4</v>
      </c>
      <c r="G73" s="257">
        <f t="shared" si="7"/>
        <v>4.3</v>
      </c>
      <c r="K73">
        <f t="shared" si="9"/>
        <v>1</v>
      </c>
      <c r="L73">
        <f t="shared" si="10"/>
        <v>1</v>
      </c>
    </row>
    <row r="74" spans="1:14" x14ac:dyDescent="0.25">
      <c r="A74">
        <f t="shared" si="8"/>
        <v>2.7916666666666665</v>
      </c>
      <c r="C74" s="260">
        <v>67</v>
      </c>
      <c r="D74" s="261">
        <f t="shared" si="5"/>
        <v>142886.43234859695</v>
      </c>
      <c r="E74" s="257">
        <f t="shared" si="7"/>
        <v>420</v>
      </c>
      <c r="F74" s="257">
        <f t="shared" si="7"/>
        <v>34.4</v>
      </c>
      <c r="G74" s="257">
        <f t="shared" si="7"/>
        <v>4.3</v>
      </c>
      <c r="K74">
        <f t="shared" si="9"/>
        <v>1</v>
      </c>
      <c r="L74">
        <f t="shared" si="10"/>
        <v>1</v>
      </c>
    </row>
    <row r="75" spans="1:14" x14ac:dyDescent="0.25">
      <c r="A75">
        <f t="shared" si="8"/>
        <v>2.8333333333333335</v>
      </c>
      <c r="C75" s="260">
        <v>68</v>
      </c>
      <c r="D75" s="261">
        <f t="shared" si="5"/>
        <v>144502.37939398063</v>
      </c>
      <c r="E75" s="257">
        <f t="shared" si="7"/>
        <v>420</v>
      </c>
      <c r="F75" s="257">
        <f t="shared" si="7"/>
        <v>34.4</v>
      </c>
      <c r="G75" s="257">
        <f t="shared" si="7"/>
        <v>4.3</v>
      </c>
      <c r="K75">
        <f t="shared" si="9"/>
        <v>1</v>
      </c>
      <c r="L75">
        <f t="shared" si="10"/>
        <v>1</v>
      </c>
    </row>
    <row r="76" spans="1:14" x14ac:dyDescent="0.25">
      <c r="A76">
        <f t="shared" si="8"/>
        <v>2.875</v>
      </c>
      <c r="C76" s="260">
        <v>69</v>
      </c>
      <c r="D76" s="261">
        <f t="shared" si="5"/>
        <v>145049.50623356036</v>
      </c>
      <c r="E76" s="257">
        <f t="shared" si="7"/>
        <v>420</v>
      </c>
      <c r="F76" s="257">
        <f t="shared" si="7"/>
        <v>34.4</v>
      </c>
      <c r="G76" s="257">
        <f t="shared" si="7"/>
        <v>4.3</v>
      </c>
      <c r="K76">
        <f t="shared" si="9"/>
        <v>1</v>
      </c>
      <c r="L76">
        <f t="shared" si="10"/>
        <v>1</v>
      </c>
    </row>
    <row r="77" spans="1:14" x14ac:dyDescent="0.25">
      <c r="A77">
        <f t="shared" si="8"/>
        <v>2.9166666666666665</v>
      </c>
      <c r="C77" s="260">
        <v>70</v>
      </c>
      <c r="D77" s="261">
        <f t="shared" si="5"/>
        <v>143344.87171646225</v>
      </c>
      <c r="E77" s="257">
        <f t="shared" si="7"/>
        <v>420</v>
      </c>
      <c r="F77" s="257">
        <f t="shared" si="7"/>
        <v>34.4</v>
      </c>
      <c r="G77" s="257">
        <f t="shared" si="7"/>
        <v>4.3</v>
      </c>
      <c r="K77">
        <f t="shared" si="9"/>
        <v>1</v>
      </c>
      <c r="L77">
        <f t="shared" si="10"/>
        <v>1</v>
      </c>
    </row>
    <row r="78" spans="1:14" x14ac:dyDescent="0.25">
      <c r="A78">
        <f t="shared" si="8"/>
        <v>2.9583333333333335</v>
      </c>
      <c r="C78" s="260">
        <v>71</v>
      </c>
      <c r="D78" s="261">
        <f t="shared" si="5"/>
        <v>138814.26417077854</v>
      </c>
      <c r="E78" s="257">
        <f t="shared" si="7"/>
        <v>420</v>
      </c>
      <c r="F78" s="257">
        <f t="shared" si="7"/>
        <v>34.4</v>
      </c>
      <c r="G78" s="257">
        <f t="shared" si="7"/>
        <v>4.3</v>
      </c>
      <c r="K78">
        <f t="shared" si="9"/>
        <v>1</v>
      </c>
      <c r="L78">
        <f t="shared" si="10"/>
        <v>1</v>
      </c>
    </row>
    <row r="79" spans="1:14" x14ac:dyDescent="0.25">
      <c r="A79">
        <f t="shared" si="8"/>
        <v>3</v>
      </c>
      <c r="C79" s="262">
        <v>72</v>
      </c>
      <c r="D79" s="266">
        <f t="shared" si="5"/>
        <v>263432.63932483224</v>
      </c>
      <c r="E79" s="258">
        <f t="shared" si="7"/>
        <v>336</v>
      </c>
      <c r="F79" s="258">
        <f t="shared" si="7"/>
        <v>27.52</v>
      </c>
      <c r="G79" s="258">
        <f t="shared" si="7"/>
        <v>3.44</v>
      </c>
      <c r="K79">
        <f>$T$9</f>
        <v>2</v>
      </c>
      <c r="L79">
        <f>$U$9</f>
        <v>0.8</v>
      </c>
      <c r="N79" t="s">
        <v>321</v>
      </c>
    </row>
    <row r="80" spans="1:14" x14ac:dyDescent="0.25">
      <c r="A80">
        <f t="shared" si="8"/>
        <v>3.0416666666666665</v>
      </c>
      <c r="C80" s="262">
        <v>73</v>
      </c>
      <c r="D80" s="266">
        <f t="shared" si="5"/>
        <v>246276.65055677434</v>
      </c>
      <c r="E80" s="258">
        <f t="shared" si="7"/>
        <v>336</v>
      </c>
      <c r="F80" s="258">
        <f t="shared" si="7"/>
        <v>27.52</v>
      </c>
      <c r="G80" s="258">
        <f t="shared" si="7"/>
        <v>3.44</v>
      </c>
      <c r="K80">
        <f t="shared" ref="K80:K143" si="11">$T$9</f>
        <v>2</v>
      </c>
      <c r="L80">
        <f t="shared" ref="L80:L143" si="12">$U$9</f>
        <v>0.8</v>
      </c>
    </row>
    <row r="81" spans="1:12" x14ac:dyDescent="0.25">
      <c r="A81">
        <f t="shared" si="8"/>
        <v>3.0833333333333335</v>
      </c>
      <c r="C81" s="262">
        <v>74</v>
      </c>
      <c r="D81" s="266">
        <f t="shared" si="5"/>
        <v>229520.79033987047</v>
      </c>
      <c r="E81" s="258">
        <f t="shared" si="7"/>
        <v>336</v>
      </c>
      <c r="F81" s="258">
        <f t="shared" si="7"/>
        <v>27.52</v>
      </c>
      <c r="G81" s="258">
        <f t="shared" si="7"/>
        <v>3.44</v>
      </c>
      <c r="K81">
        <f t="shared" si="11"/>
        <v>2</v>
      </c>
      <c r="L81">
        <f t="shared" si="12"/>
        <v>0.8</v>
      </c>
    </row>
    <row r="82" spans="1:12" x14ac:dyDescent="0.25">
      <c r="A82">
        <f t="shared" si="8"/>
        <v>3.125</v>
      </c>
      <c r="C82" s="262">
        <v>75</v>
      </c>
      <c r="D82" s="266">
        <f t="shared" si="5"/>
        <v>216894.85004929831</v>
      </c>
      <c r="E82" s="258">
        <f t="shared" si="7"/>
        <v>336</v>
      </c>
      <c r="F82" s="258">
        <f t="shared" si="7"/>
        <v>27.52</v>
      </c>
      <c r="G82" s="258">
        <f t="shared" si="7"/>
        <v>3.44</v>
      </c>
      <c r="K82">
        <f t="shared" si="11"/>
        <v>2</v>
      </c>
      <c r="L82">
        <f t="shared" si="12"/>
        <v>0.8</v>
      </c>
    </row>
    <row r="83" spans="1:12" x14ac:dyDescent="0.25">
      <c r="A83">
        <f t="shared" si="8"/>
        <v>3.1666666666666665</v>
      </c>
      <c r="C83" s="262">
        <v>76</v>
      </c>
      <c r="D83" s="266">
        <f t="shared" si="5"/>
        <v>211550.57737236036</v>
      </c>
      <c r="E83" s="258">
        <f t="shared" si="7"/>
        <v>336</v>
      </c>
      <c r="F83" s="258">
        <f t="shared" si="7"/>
        <v>27.52</v>
      </c>
      <c r="G83" s="258">
        <f t="shared" si="7"/>
        <v>3.44</v>
      </c>
      <c r="K83">
        <f t="shared" si="11"/>
        <v>2</v>
      </c>
      <c r="L83">
        <f t="shared" si="12"/>
        <v>0.8</v>
      </c>
    </row>
    <row r="84" spans="1:12" x14ac:dyDescent="0.25">
      <c r="A84">
        <f t="shared" si="8"/>
        <v>3.2083333333333335</v>
      </c>
      <c r="C84" s="262">
        <v>77</v>
      </c>
      <c r="D84" s="266">
        <f t="shared" si="5"/>
        <v>215232.93505457431</v>
      </c>
      <c r="E84" s="258">
        <f t="shared" si="7"/>
        <v>336</v>
      </c>
      <c r="F84" s="258">
        <f t="shared" si="7"/>
        <v>27.52</v>
      </c>
      <c r="G84" s="258">
        <f t="shared" si="7"/>
        <v>3.44</v>
      </c>
      <c r="K84">
        <f t="shared" si="11"/>
        <v>2</v>
      </c>
      <c r="L84">
        <f t="shared" si="12"/>
        <v>0.8</v>
      </c>
    </row>
    <row r="85" spans="1:12" x14ac:dyDescent="0.25">
      <c r="A85">
        <f t="shared" si="8"/>
        <v>3.25</v>
      </c>
      <c r="C85" s="262">
        <v>78</v>
      </c>
      <c r="D85" s="266">
        <f t="shared" si="5"/>
        <v>227791.2112075786</v>
      </c>
      <c r="E85" s="258">
        <f t="shared" si="7"/>
        <v>336</v>
      </c>
      <c r="F85" s="258">
        <f t="shared" si="7"/>
        <v>27.52</v>
      </c>
      <c r="G85" s="258">
        <f t="shared" si="7"/>
        <v>3.44</v>
      </c>
      <c r="K85">
        <f t="shared" si="11"/>
        <v>2</v>
      </c>
      <c r="L85">
        <f t="shared" si="12"/>
        <v>0.8</v>
      </c>
    </row>
    <row r="86" spans="1:12" x14ac:dyDescent="0.25">
      <c r="A86">
        <f t="shared" si="8"/>
        <v>3.2916666666666665</v>
      </c>
      <c r="C86" s="262">
        <v>79</v>
      </c>
      <c r="D86" s="266">
        <f t="shared" si="5"/>
        <v>247162.43226772707</v>
      </c>
      <c r="E86" s="258">
        <f t="shared" si="7"/>
        <v>336</v>
      </c>
      <c r="F86" s="258">
        <f t="shared" si="7"/>
        <v>27.52</v>
      </c>
      <c r="G86" s="258">
        <f t="shared" si="7"/>
        <v>3.44</v>
      </c>
      <c r="K86">
        <f t="shared" si="11"/>
        <v>2</v>
      </c>
      <c r="L86">
        <f t="shared" si="12"/>
        <v>0.8</v>
      </c>
    </row>
    <row r="87" spans="1:12" x14ac:dyDescent="0.25">
      <c r="A87">
        <f t="shared" si="8"/>
        <v>3.3333333333333335</v>
      </c>
      <c r="C87" s="262">
        <v>80</v>
      </c>
      <c r="D87" s="266">
        <f t="shared" si="5"/>
        <v>269835.4055126718</v>
      </c>
      <c r="E87" s="258">
        <f t="shared" si="7"/>
        <v>336</v>
      </c>
      <c r="F87" s="258">
        <f t="shared" si="7"/>
        <v>27.52</v>
      </c>
      <c r="G87" s="258">
        <f t="shared" si="7"/>
        <v>3.44</v>
      </c>
      <c r="K87">
        <f t="shared" si="11"/>
        <v>2</v>
      </c>
      <c r="L87">
        <f t="shared" si="12"/>
        <v>0.8</v>
      </c>
    </row>
    <row r="88" spans="1:12" x14ac:dyDescent="0.25">
      <c r="A88">
        <f t="shared" si="8"/>
        <v>3.375</v>
      </c>
      <c r="C88" s="262">
        <v>81</v>
      </c>
      <c r="D88" s="266">
        <f t="shared" si="5"/>
        <v>291677.09809286549</v>
      </c>
      <c r="E88" s="258">
        <f t="shared" si="7"/>
        <v>336</v>
      </c>
      <c r="F88" s="258">
        <f t="shared" si="7"/>
        <v>27.52</v>
      </c>
      <c r="G88" s="258">
        <f t="shared" si="7"/>
        <v>3.44</v>
      </c>
      <c r="K88">
        <f t="shared" si="11"/>
        <v>2</v>
      </c>
      <c r="L88">
        <f t="shared" si="12"/>
        <v>0.8</v>
      </c>
    </row>
    <row r="89" spans="1:12" x14ac:dyDescent="0.25">
      <c r="A89">
        <f t="shared" si="8"/>
        <v>3.4166666666666665</v>
      </c>
      <c r="C89" s="262">
        <v>82</v>
      </c>
      <c r="D89" s="266">
        <f t="shared" si="5"/>
        <v>308907.7240322188</v>
      </c>
      <c r="E89" s="258">
        <f t="shared" si="7"/>
        <v>336</v>
      </c>
      <c r="F89" s="258">
        <f t="shared" si="7"/>
        <v>27.52</v>
      </c>
      <c r="G89" s="258">
        <f t="shared" si="7"/>
        <v>3.44</v>
      </c>
      <c r="K89">
        <f t="shared" si="11"/>
        <v>2</v>
      </c>
      <c r="L89">
        <f t="shared" si="12"/>
        <v>0.8</v>
      </c>
    </row>
    <row r="90" spans="1:12" x14ac:dyDescent="0.25">
      <c r="A90">
        <f t="shared" si="8"/>
        <v>3.4583333333333335</v>
      </c>
      <c r="C90" s="262">
        <v>83</v>
      </c>
      <c r="D90" s="266">
        <f t="shared" si="5"/>
        <v>318972.2852535079</v>
      </c>
      <c r="E90" s="258">
        <f t="shared" si="7"/>
        <v>336</v>
      </c>
      <c r="F90" s="258">
        <f t="shared" si="7"/>
        <v>27.52</v>
      </c>
      <c r="G90" s="258">
        <f t="shared" si="7"/>
        <v>3.44</v>
      </c>
      <c r="K90">
        <f t="shared" si="11"/>
        <v>2</v>
      </c>
      <c r="L90">
        <f t="shared" si="12"/>
        <v>0.8</v>
      </c>
    </row>
    <row r="91" spans="1:12" x14ac:dyDescent="0.25">
      <c r="A91">
        <f t="shared" si="8"/>
        <v>3.5</v>
      </c>
      <c r="C91" s="262">
        <v>84</v>
      </c>
      <c r="D91" s="266">
        <f t="shared" si="5"/>
        <v>321084.6638396784</v>
      </c>
      <c r="E91" s="258">
        <f t="shared" si="7"/>
        <v>336</v>
      </c>
      <c r="F91" s="258">
        <f t="shared" si="7"/>
        <v>27.52</v>
      </c>
      <c r="G91" s="258">
        <f t="shared" si="7"/>
        <v>3.44</v>
      </c>
      <c r="K91">
        <f t="shared" si="11"/>
        <v>2</v>
      </c>
      <c r="L91">
        <f t="shared" si="12"/>
        <v>0.8</v>
      </c>
    </row>
    <row r="92" spans="1:12" x14ac:dyDescent="0.25">
      <c r="A92">
        <f t="shared" si="8"/>
        <v>3.5416666666666665</v>
      </c>
      <c r="C92" s="262">
        <v>85</v>
      </c>
      <c r="D92" s="266">
        <f t="shared" si="5"/>
        <v>316308.05247830477</v>
      </c>
      <c r="E92" s="258">
        <f t="shared" si="7"/>
        <v>336</v>
      </c>
      <c r="F92" s="258">
        <f t="shared" si="7"/>
        <v>27.52</v>
      </c>
      <c r="G92" s="258">
        <f t="shared" si="7"/>
        <v>3.44</v>
      </c>
      <c r="K92">
        <f t="shared" si="11"/>
        <v>2</v>
      </c>
      <c r="L92">
        <f t="shared" si="12"/>
        <v>0.8</v>
      </c>
    </row>
    <row r="93" spans="1:12" x14ac:dyDescent="0.25">
      <c r="A93">
        <f t="shared" si="8"/>
        <v>3.5833333333333335</v>
      </c>
      <c r="C93" s="262">
        <v>86</v>
      </c>
      <c r="D93" s="266">
        <f t="shared" si="5"/>
        <v>307159.04535949661</v>
      </c>
      <c r="E93" s="258">
        <f t="shared" si="7"/>
        <v>336</v>
      </c>
      <c r="F93" s="258">
        <f t="shared" si="7"/>
        <v>27.52</v>
      </c>
      <c r="G93" s="258">
        <f t="shared" si="7"/>
        <v>3.44</v>
      </c>
      <c r="K93">
        <f t="shared" si="11"/>
        <v>2</v>
      </c>
      <c r="L93">
        <f t="shared" si="12"/>
        <v>0.8</v>
      </c>
    </row>
    <row r="94" spans="1:12" x14ac:dyDescent="0.25">
      <c r="A94">
        <f t="shared" si="8"/>
        <v>3.625</v>
      </c>
      <c r="C94" s="262">
        <v>87</v>
      </c>
      <c r="D94" s="266">
        <f t="shared" si="5"/>
        <v>296849.03939071536</v>
      </c>
      <c r="E94" s="258">
        <f t="shared" si="7"/>
        <v>336</v>
      </c>
      <c r="F94" s="258">
        <f t="shared" si="7"/>
        <v>27.52</v>
      </c>
      <c r="G94" s="258">
        <f t="shared" si="7"/>
        <v>3.44</v>
      </c>
      <c r="K94">
        <f t="shared" si="11"/>
        <v>2</v>
      </c>
      <c r="L94">
        <f t="shared" si="12"/>
        <v>0.8</v>
      </c>
    </row>
    <row r="95" spans="1:12" x14ac:dyDescent="0.25">
      <c r="A95">
        <f t="shared" si="8"/>
        <v>3.6666666666666665</v>
      </c>
      <c r="C95" s="262">
        <v>88</v>
      </c>
      <c r="D95" s="266">
        <f t="shared" si="5"/>
        <v>288371.95516249607</v>
      </c>
      <c r="E95" s="258">
        <f t="shared" si="7"/>
        <v>336</v>
      </c>
      <c r="F95" s="258">
        <f t="shared" si="7"/>
        <v>27.52</v>
      </c>
      <c r="G95" s="258">
        <f t="shared" si="7"/>
        <v>3.44</v>
      </c>
      <c r="K95">
        <f t="shared" si="11"/>
        <v>2</v>
      </c>
      <c r="L95">
        <f t="shared" si="12"/>
        <v>0.8</v>
      </c>
    </row>
    <row r="96" spans="1:12" x14ac:dyDescent="0.25">
      <c r="A96">
        <f t="shared" si="8"/>
        <v>3.7083333333333335</v>
      </c>
      <c r="C96" s="262">
        <v>89</v>
      </c>
      <c r="D96" s="266">
        <f t="shared" ref="D96:D102" si="13">D72*K96</f>
        <v>283686.25135036034</v>
      </c>
      <c r="E96" s="258">
        <f t="shared" si="7"/>
        <v>336</v>
      </c>
      <c r="F96" s="258">
        <f t="shared" si="7"/>
        <v>27.52</v>
      </c>
      <c r="G96" s="258">
        <f t="shared" si="7"/>
        <v>3.44</v>
      </c>
      <c r="K96">
        <f t="shared" si="11"/>
        <v>2</v>
      </c>
      <c r="L96">
        <f t="shared" si="12"/>
        <v>0.8</v>
      </c>
    </row>
    <row r="97" spans="1:13" x14ac:dyDescent="0.25">
      <c r="A97">
        <f t="shared" si="8"/>
        <v>3.75</v>
      </c>
      <c r="C97" s="262">
        <v>90</v>
      </c>
      <c r="D97" s="266">
        <f t="shared" si="13"/>
        <v>283211.48562791094</v>
      </c>
      <c r="E97" s="258">
        <f t="shared" si="7"/>
        <v>336</v>
      </c>
      <c r="F97" s="258">
        <f t="shared" si="7"/>
        <v>27.52</v>
      </c>
      <c r="G97" s="258">
        <f t="shared" si="7"/>
        <v>3.44</v>
      </c>
      <c r="K97">
        <f t="shared" si="11"/>
        <v>2</v>
      </c>
      <c r="L97">
        <f t="shared" si="12"/>
        <v>0.8</v>
      </c>
    </row>
    <row r="98" spans="1:13" x14ac:dyDescent="0.25">
      <c r="A98">
        <f t="shared" si="8"/>
        <v>3.7916666666666665</v>
      </c>
      <c r="C98" s="262">
        <v>91</v>
      </c>
      <c r="D98" s="266">
        <f t="shared" si="13"/>
        <v>285772.8646971939</v>
      </c>
      <c r="E98" s="258">
        <f t="shared" si="7"/>
        <v>336</v>
      </c>
      <c r="F98" s="258">
        <f t="shared" si="7"/>
        <v>27.52</v>
      </c>
      <c r="G98" s="258">
        <f t="shared" si="7"/>
        <v>3.44</v>
      </c>
      <c r="K98">
        <f t="shared" si="11"/>
        <v>2</v>
      </c>
      <c r="L98">
        <f t="shared" si="12"/>
        <v>0.8</v>
      </c>
    </row>
    <row r="99" spans="1:13" x14ac:dyDescent="0.25">
      <c r="A99">
        <f t="shared" si="8"/>
        <v>3.8333333333333335</v>
      </c>
      <c r="C99" s="262">
        <v>92</v>
      </c>
      <c r="D99" s="266">
        <f t="shared" si="13"/>
        <v>289004.75878796127</v>
      </c>
      <c r="E99" s="258">
        <f t="shared" si="7"/>
        <v>336</v>
      </c>
      <c r="F99" s="258">
        <f t="shared" si="7"/>
        <v>27.52</v>
      </c>
      <c r="G99" s="258">
        <f t="shared" si="7"/>
        <v>3.44</v>
      </c>
      <c r="K99">
        <f t="shared" si="11"/>
        <v>2</v>
      </c>
      <c r="L99">
        <f t="shared" si="12"/>
        <v>0.8</v>
      </c>
    </row>
    <row r="100" spans="1:13" x14ac:dyDescent="0.25">
      <c r="A100">
        <f t="shared" si="8"/>
        <v>3.875</v>
      </c>
      <c r="C100" s="262">
        <v>93</v>
      </c>
      <c r="D100" s="266">
        <f t="shared" si="13"/>
        <v>290099.01246712072</v>
      </c>
      <c r="E100" s="258">
        <f t="shared" si="7"/>
        <v>336</v>
      </c>
      <c r="F100" s="258">
        <f t="shared" si="7"/>
        <v>27.52</v>
      </c>
      <c r="G100" s="258">
        <f t="shared" si="7"/>
        <v>3.44</v>
      </c>
      <c r="K100">
        <f t="shared" si="11"/>
        <v>2</v>
      </c>
      <c r="L100">
        <f t="shared" si="12"/>
        <v>0.8</v>
      </c>
    </row>
    <row r="101" spans="1:13" x14ac:dyDescent="0.25">
      <c r="A101">
        <f t="shared" si="8"/>
        <v>3.9166666666666665</v>
      </c>
      <c r="C101" s="262">
        <v>94</v>
      </c>
      <c r="D101" s="266">
        <f t="shared" si="13"/>
        <v>286689.7434329245</v>
      </c>
      <c r="E101" s="258">
        <f t="shared" si="7"/>
        <v>336</v>
      </c>
      <c r="F101" s="258">
        <f t="shared" si="7"/>
        <v>27.52</v>
      </c>
      <c r="G101" s="258">
        <f t="shared" si="7"/>
        <v>3.44</v>
      </c>
      <c r="K101">
        <f t="shared" si="11"/>
        <v>2</v>
      </c>
      <c r="L101">
        <f t="shared" si="12"/>
        <v>0.8</v>
      </c>
    </row>
    <row r="102" spans="1:13" x14ac:dyDescent="0.25">
      <c r="A102">
        <f t="shared" si="8"/>
        <v>3.9583333333333335</v>
      </c>
      <c r="C102" s="262">
        <v>95</v>
      </c>
      <c r="D102" s="266">
        <f t="shared" si="13"/>
        <v>277628.52834155707</v>
      </c>
      <c r="E102" s="258">
        <f t="shared" si="7"/>
        <v>336</v>
      </c>
      <c r="F102" s="258">
        <f t="shared" si="7"/>
        <v>27.52</v>
      </c>
      <c r="G102" s="258">
        <f t="shared" si="7"/>
        <v>3.44</v>
      </c>
      <c r="K102">
        <f t="shared" si="11"/>
        <v>2</v>
      </c>
      <c r="L102">
        <f t="shared" si="12"/>
        <v>0.8</v>
      </c>
    </row>
    <row r="103" spans="1:13" x14ac:dyDescent="0.25">
      <c r="A103">
        <f t="shared" si="8"/>
        <v>4</v>
      </c>
      <c r="C103" s="262">
        <v>96</v>
      </c>
      <c r="D103" s="266">
        <f>D7*K103</f>
        <v>263432.63932483224</v>
      </c>
      <c r="E103" s="258">
        <f t="shared" si="7"/>
        <v>336</v>
      </c>
      <c r="F103" s="258">
        <f t="shared" si="7"/>
        <v>27.52</v>
      </c>
      <c r="G103" s="258">
        <f t="shared" si="7"/>
        <v>3.44</v>
      </c>
      <c r="K103">
        <f t="shared" si="11"/>
        <v>2</v>
      </c>
      <c r="L103">
        <f t="shared" si="12"/>
        <v>0.8</v>
      </c>
    </row>
    <row r="104" spans="1:13" x14ac:dyDescent="0.25">
      <c r="A104">
        <f t="shared" si="8"/>
        <v>4.041666666666667</v>
      </c>
      <c r="C104" s="262">
        <v>97</v>
      </c>
      <c r="D104" s="266">
        <f t="shared" ref="D104:D167" si="14">D8*K104</f>
        <v>246276.65055677434</v>
      </c>
      <c r="E104" s="258">
        <f t="shared" ref="E104:G167" si="15">E$3*$L104</f>
        <v>336</v>
      </c>
      <c r="F104" s="258">
        <f t="shared" si="15"/>
        <v>27.52</v>
      </c>
      <c r="G104" s="258">
        <f t="shared" si="15"/>
        <v>3.44</v>
      </c>
      <c r="K104">
        <f t="shared" si="11"/>
        <v>2</v>
      </c>
      <c r="L104">
        <f t="shared" si="12"/>
        <v>0.8</v>
      </c>
      <c r="M104">
        <v>0.8</v>
      </c>
    </row>
    <row r="105" spans="1:13" x14ac:dyDescent="0.25">
      <c r="A105">
        <f t="shared" si="8"/>
        <v>4.083333333333333</v>
      </c>
      <c r="C105" s="262">
        <v>98</v>
      </c>
      <c r="D105" s="266">
        <f t="shared" si="14"/>
        <v>229520.79033987047</v>
      </c>
      <c r="E105" s="258">
        <f t="shared" si="15"/>
        <v>336</v>
      </c>
      <c r="F105" s="258">
        <f t="shared" si="15"/>
        <v>27.52</v>
      </c>
      <c r="G105" s="258">
        <f t="shared" si="15"/>
        <v>3.44</v>
      </c>
      <c r="K105">
        <f t="shared" si="11"/>
        <v>2</v>
      </c>
      <c r="L105">
        <f t="shared" si="12"/>
        <v>0.8</v>
      </c>
    </row>
    <row r="106" spans="1:13" x14ac:dyDescent="0.25">
      <c r="A106">
        <f t="shared" si="8"/>
        <v>4.125</v>
      </c>
      <c r="C106" s="262">
        <v>99</v>
      </c>
      <c r="D106" s="266">
        <f t="shared" si="14"/>
        <v>216894.85004929831</v>
      </c>
      <c r="E106" s="258">
        <f t="shared" si="15"/>
        <v>336</v>
      </c>
      <c r="F106" s="258">
        <f t="shared" si="15"/>
        <v>27.52</v>
      </c>
      <c r="G106" s="258">
        <f t="shared" si="15"/>
        <v>3.44</v>
      </c>
      <c r="K106">
        <f t="shared" si="11"/>
        <v>2</v>
      </c>
      <c r="L106">
        <f t="shared" si="12"/>
        <v>0.8</v>
      </c>
    </row>
    <row r="107" spans="1:13" x14ac:dyDescent="0.25">
      <c r="A107">
        <f t="shared" si="8"/>
        <v>4.166666666666667</v>
      </c>
      <c r="C107" s="262">
        <v>100</v>
      </c>
      <c r="D107" s="266">
        <f t="shared" si="14"/>
        <v>211550.57737236036</v>
      </c>
      <c r="E107" s="258">
        <f t="shared" si="15"/>
        <v>336</v>
      </c>
      <c r="F107" s="258">
        <f t="shared" si="15"/>
        <v>27.52</v>
      </c>
      <c r="G107" s="258">
        <f t="shared" si="15"/>
        <v>3.44</v>
      </c>
      <c r="K107">
        <f t="shared" si="11"/>
        <v>2</v>
      </c>
      <c r="L107">
        <f t="shared" si="12"/>
        <v>0.8</v>
      </c>
    </row>
    <row r="108" spans="1:13" x14ac:dyDescent="0.25">
      <c r="A108">
        <f t="shared" si="8"/>
        <v>4.208333333333333</v>
      </c>
      <c r="C108" s="262">
        <v>101</v>
      </c>
      <c r="D108" s="266">
        <f t="shared" si="14"/>
        <v>215232.93505457431</v>
      </c>
      <c r="E108" s="258">
        <f t="shared" si="15"/>
        <v>336</v>
      </c>
      <c r="F108" s="258">
        <f t="shared" si="15"/>
        <v>27.52</v>
      </c>
      <c r="G108" s="258">
        <f t="shared" si="15"/>
        <v>3.44</v>
      </c>
      <c r="K108">
        <f t="shared" si="11"/>
        <v>2</v>
      </c>
      <c r="L108">
        <f t="shared" si="12"/>
        <v>0.8</v>
      </c>
    </row>
    <row r="109" spans="1:13" x14ac:dyDescent="0.25">
      <c r="A109">
        <f t="shared" si="8"/>
        <v>4.25</v>
      </c>
      <c r="C109" s="262">
        <v>102</v>
      </c>
      <c r="D109" s="266">
        <f t="shared" si="14"/>
        <v>227791.2112075786</v>
      </c>
      <c r="E109" s="258">
        <f t="shared" si="15"/>
        <v>336</v>
      </c>
      <c r="F109" s="258">
        <f t="shared" si="15"/>
        <v>27.52</v>
      </c>
      <c r="G109" s="258">
        <f t="shared" si="15"/>
        <v>3.44</v>
      </c>
      <c r="K109">
        <f t="shared" si="11"/>
        <v>2</v>
      </c>
      <c r="L109">
        <f t="shared" si="12"/>
        <v>0.8</v>
      </c>
    </row>
    <row r="110" spans="1:13" x14ac:dyDescent="0.25">
      <c r="A110">
        <f t="shared" si="8"/>
        <v>4.291666666666667</v>
      </c>
      <c r="C110" s="262">
        <v>103</v>
      </c>
      <c r="D110" s="266">
        <f t="shared" si="14"/>
        <v>247162.43226772707</v>
      </c>
      <c r="E110" s="258">
        <f t="shared" si="15"/>
        <v>336</v>
      </c>
      <c r="F110" s="258">
        <f t="shared" si="15"/>
        <v>27.52</v>
      </c>
      <c r="G110" s="258">
        <f t="shared" si="15"/>
        <v>3.44</v>
      </c>
      <c r="K110">
        <f t="shared" si="11"/>
        <v>2</v>
      </c>
      <c r="L110">
        <f t="shared" si="12"/>
        <v>0.8</v>
      </c>
    </row>
    <row r="111" spans="1:13" x14ac:dyDescent="0.25">
      <c r="A111">
        <f t="shared" si="8"/>
        <v>4.333333333333333</v>
      </c>
      <c r="C111" s="262">
        <v>104</v>
      </c>
      <c r="D111" s="266">
        <f t="shared" si="14"/>
        <v>269835.4055126718</v>
      </c>
      <c r="E111" s="258">
        <f t="shared" si="15"/>
        <v>336</v>
      </c>
      <c r="F111" s="258">
        <f t="shared" si="15"/>
        <v>27.52</v>
      </c>
      <c r="G111" s="258">
        <f t="shared" si="15"/>
        <v>3.44</v>
      </c>
      <c r="K111">
        <f t="shared" si="11"/>
        <v>2</v>
      </c>
      <c r="L111">
        <f t="shared" si="12"/>
        <v>0.8</v>
      </c>
    </row>
    <row r="112" spans="1:13" x14ac:dyDescent="0.25">
      <c r="A112">
        <f t="shared" si="8"/>
        <v>4.375</v>
      </c>
      <c r="C112" s="262">
        <v>105</v>
      </c>
      <c r="D112" s="266">
        <f t="shared" si="14"/>
        <v>291677.09809286549</v>
      </c>
      <c r="E112" s="258">
        <f t="shared" si="15"/>
        <v>336</v>
      </c>
      <c r="F112" s="258">
        <f t="shared" si="15"/>
        <v>27.52</v>
      </c>
      <c r="G112" s="258">
        <f t="shared" si="15"/>
        <v>3.44</v>
      </c>
      <c r="K112">
        <f t="shared" si="11"/>
        <v>2</v>
      </c>
      <c r="L112">
        <f t="shared" si="12"/>
        <v>0.8</v>
      </c>
    </row>
    <row r="113" spans="1:12" x14ac:dyDescent="0.25">
      <c r="A113">
        <f t="shared" si="8"/>
        <v>4.416666666666667</v>
      </c>
      <c r="C113" s="262">
        <v>106</v>
      </c>
      <c r="D113" s="266">
        <f t="shared" si="14"/>
        <v>308907.7240322188</v>
      </c>
      <c r="E113" s="258">
        <f t="shared" si="15"/>
        <v>336</v>
      </c>
      <c r="F113" s="258">
        <f t="shared" si="15"/>
        <v>27.52</v>
      </c>
      <c r="G113" s="258">
        <f t="shared" si="15"/>
        <v>3.44</v>
      </c>
      <c r="K113">
        <f t="shared" si="11"/>
        <v>2</v>
      </c>
      <c r="L113">
        <f t="shared" si="12"/>
        <v>0.8</v>
      </c>
    </row>
    <row r="114" spans="1:12" x14ac:dyDescent="0.25">
      <c r="A114">
        <f t="shared" si="8"/>
        <v>4.458333333333333</v>
      </c>
      <c r="C114" s="262">
        <v>107</v>
      </c>
      <c r="D114" s="266">
        <f t="shared" si="14"/>
        <v>318972.2852535079</v>
      </c>
      <c r="E114" s="258">
        <f t="shared" si="15"/>
        <v>336</v>
      </c>
      <c r="F114" s="258">
        <f t="shared" si="15"/>
        <v>27.52</v>
      </c>
      <c r="G114" s="258">
        <f t="shared" si="15"/>
        <v>3.44</v>
      </c>
      <c r="K114">
        <f t="shared" si="11"/>
        <v>2</v>
      </c>
      <c r="L114">
        <f t="shared" si="12"/>
        <v>0.8</v>
      </c>
    </row>
    <row r="115" spans="1:12" x14ac:dyDescent="0.25">
      <c r="A115">
        <f t="shared" si="8"/>
        <v>4.5</v>
      </c>
      <c r="C115" s="262">
        <v>108</v>
      </c>
      <c r="D115" s="266">
        <f t="shared" si="14"/>
        <v>321084.6638396784</v>
      </c>
      <c r="E115" s="258">
        <f t="shared" si="15"/>
        <v>336</v>
      </c>
      <c r="F115" s="258">
        <f t="shared" si="15"/>
        <v>27.52</v>
      </c>
      <c r="G115" s="258">
        <f t="shared" si="15"/>
        <v>3.44</v>
      </c>
      <c r="K115">
        <f t="shared" si="11"/>
        <v>2</v>
      </c>
      <c r="L115">
        <f t="shared" si="12"/>
        <v>0.8</v>
      </c>
    </row>
    <row r="116" spans="1:12" x14ac:dyDescent="0.25">
      <c r="A116">
        <f t="shared" si="8"/>
        <v>4.541666666666667</v>
      </c>
      <c r="C116" s="262">
        <v>109</v>
      </c>
      <c r="D116" s="266">
        <f t="shared" si="14"/>
        <v>316308.05247830477</v>
      </c>
      <c r="E116" s="258">
        <f t="shared" si="15"/>
        <v>336</v>
      </c>
      <c r="F116" s="258">
        <f t="shared" si="15"/>
        <v>27.52</v>
      </c>
      <c r="G116" s="258">
        <f t="shared" si="15"/>
        <v>3.44</v>
      </c>
      <c r="K116">
        <f t="shared" si="11"/>
        <v>2</v>
      </c>
      <c r="L116">
        <f t="shared" si="12"/>
        <v>0.8</v>
      </c>
    </row>
    <row r="117" spans="1:12" x14ac:dyDescent="0.25">
      <c r="A117">
        <f t="shared" si="8"/>
        <v>4.583333333333333</v>
      </c>
      <c r="C117" s="262">
        <v>110</v>
      </c>
      <c r="D117" s="266">
        <f t="shared" si="14"/>
        <v>307159.04535949661</v>
      </c>
      <c r="E117" s="258">
        <f t="shared" si="15"/>
        <v>336</v>
      </c>
      <c r="F117" s="258">
        <f t="shared" si="15"/>
        <v>27.52</v>
      </c>
      <c r="G117" s="258">
        <f t="shared" si="15"/>
        <v>3.44</v>
      </c>
      <c r="K117">
        <f t="shared" si="11"/>
        <v>2</v>
      </c>
      <c r="L117">
        <f t="shared" si="12"/>
        <v>0.8</v>
      </c>
    </row>
    <row r="118" spans="1:12" x14ac:dyDescent="0.25">
      <c r="A118">
        <f t="shared" si="8"/>
        <v>4.625</v>
      </c>
      <c r="C118" s="262">
        <v>111</v>
      </c>
      <c r="D118" s="266">
        <f t="shared" si="14"/>
        <v>296849.03939071536</v>
      </c>
      <c r="E118" s="258">
        <f t="shared" si="15"/>
        <v>336</v>
      </c>
      <c r="F118" s="258">
        <f t="shared" si="15"/>
        <v>27.52</v>
      </c>
      <c r="G118" s="258">
        <f t="shared" si="15"/>
        <v>3.44</v>
      </c>
      <c r="K118">
        <f t="shared" si="11"/>
        <v>2</v>
      </c>
      <c r="L118">
        <f t="shared" si="12"/>
        <v>0.8</v>
      </c>
    </row>
    <row r="119" spans="1:12" x14ac:dyDescent="0.25">
      <c r="A119">
        <f t="shared" si="8"/>
        <v>4.666666666666667</v>
      </c>
      <c r="C119" s="262">
        <v>112</v>
      </c>
      <c r="D119" s="266">
        <f t="shared" si="14"/>
        <v>288371.95516249607</v>
      </c>
      <c r="E119" s="258">
        <f t="shared" si="15"/>
        <v>336</v>
      </c>
      <c r="F119" s="258">
        <f t="shared" si="15"/>
        <v>27.52</v>
      </c>
      <c r="G119" s="258">
        <f t="shared" si="15"/>
        <v>3.44</v>
      </c>
      <c r="K119">
        <f t="shared" si="11"/>
        <v>2</v>
      </c>
      <c r="L119">
        <f t="shared" si="12"/>
        <v>0.8</v>
      </c>
    </row>
    <row r="120" spans="1:12" x14ac:dyDescent="0.25">
      <c r="A120">
        <f t="shared" si="8"/>
        <v>4.708333333333333</v>
      </c>
      <c r="C120" s="262">
        <v>113</v>
      </c>
      <c r="D120" s="266">
        <f t="shared" si="14"/>
        <v>283686.25135036034</v>
      </c>
      <c r="E120" s="258">
        <f t="shared" si="15"/>
        <v>336</v>
      </c>
      <c r="F120" s="258">
        <f t="shared" si="15"/>
        <v>27.52</v>
      </c>
      <c r="G120" s="258">
        <f t="shared" si="15"/>
        <v>3.44</v>
      </c>
      <c r="K120">
        <f t="shared" si="11"/>
        <v>2</v>
      </c>
      <c r="L120">
        <f t="shared" si="12"/>
        <v>0.8</v>
      </c>
    </row>
    <row r="121" spans="1:12" x14ac:dyDescent="0.25">
      <c r="A121">
        <f t="shared" si="8"/>
        <v>4.75</v>
      </c>
      <c r="C121" s="262">
        <v>114</v>
      </c>
      <c r="D121" s="266">
        <f t="shared" si="14"/>
        <v>283211.48562791094</v>
      </c>
      <c r="E121" s="258">
        <f t="shared" si="15"/>
        <v>336</v>
      </c>
      <c r="F121" s="258">
        <f t="shared" si="15"/>
        <v>27.52</v>
      </c>
      <c r="G121" s="258">
        <f t="shared" si="15"/>
        <v>3.44</v>
      </c>
      <c r="K121">
        <f t="shared" si="11"/>
        <v>2</v>
      </c>
      <c r="L121">
        <f t="shared" si="12"/>
        <v>0.8</v>
      </c>
    </row>
    <row r="122" spans="1:12" x14ac:dyDescent="0.25">
      <c r="A122">
        <f t="shared" si="8"/>
        <v>4.791666666666667</v>
      </c>
      <c r="C122" s="262">
        <v>115</v>
      </c>
      <c r="D122" s="266">
        <f t="shared" si="14"/>
        <v>285772.8646971939</v>
      </c>
      <c r="E122" s="258">
        <f t="shared" si="15"/>
        <v>336</v>
      </c>
      <c r="F122" s="258">
        <f t="shared" si="15"/>
        <v>27.52</v>
      </c>
      <c r="G122" s="258">
        <f t="shared" si="15"/>
        <v>3.44</v>
      </c>
      <c r="K122">
        <f t="shared" si="11"/>
        <v>2</v>
      </c>
      <c r="L122">
        <f t="shared" si="12"/>
        <v>0.8</v>
      </c>
    </row>
    <row r="123" spans="1:12" x14ac:dyDescent="0.25">
      <c r="A123">
        <f t="shared" si="8"/>
        <v>4.833333333333333</v>
      </c>
      <c r="C123" s="262">
        <v>116</v>
      </c>
      <c r="D123" s="266">
        <f t="shared" si="14"/>
        <v>289004.75878796127</v>
      </c>
      <c r="E123" s="258">
        <f t="shared" si="15"/>
        <v>336</v>
      </c>
      <c r="F123" s="258">
        <f t="shared" si="15"/>
        <v>27.52</v>
      </c>
      <c r="G123" s="258">
        <f t="shared" si="15"/>
        <v>3.44</v>
      </c>
      <c r="K123">
        <f t="shared" si="11"/>
        <v>2</v>
      </c>
      <c r="L123">
        <f t="shared" si="12"/>
        <v>0.8</v>
      </c>
    </row>
    <row r="124" spans="1:12" x14ac:dyDescent="0.25">
      <c r="A124">
        <f t="shared" si="8"/>
        <v>4.875</v>
      </c>
      <c r="C124" s="262">
        <v>117</v>
      </c>
      <c r="D124" s="266">
        <f t="shared" si="14"/>
        <v>290099.01246712072</v>
      </c>
      <c r="E124" s="258">
        <f t="shared" si="15"/>
        <v>336</v>
      </c>
      <c r="F124" s="258">
        <f t="shared" si="15"/>
        <v>27.52</v>
      </c>
      <c r="G124" s="258">
        <f t="shared" si="15"/>
        <v>3.44</v>
      </c>
      <c r="K124">
        <f t="shared" si="11"/>
        <v>2</v>
      </c>
      <c r="L124">
        <f t="shared" si="12"/>
        <v>0.8</v>
      </c>
    </row>
    <row r="125" spans="1:12" x14ac:dyDescent="0.25">
      <c r="A125">
        <f t="shared" si="8"/>
        <v>4.916666666666667</v>
      </c>
      <c r="C125" s="262">
        <v>118</v>
      </c>
      <c r="D125" s="266">
        <f t="shared" si="14"/>
        <v>286689.7434329245</v>
      </c>
      <c r="E125" s="258">
        <f t="shared" si="15"/>
        <v>336</v>
      </c>
      <c r="F125" s="258">
        <f t="shared" si="15"/>
        <v>27.52</v>
      </c>
      <c r="G125" s="258">
        <f t="shared" si="15"/>
        <v>3.44</v>
      </c>
      <c r="K125">
        <f t="shared" si="11"/>
        <v>2</v>
      </c>
      <c r="L125">
        <f t="shared" si="12"/>
        <v>0.8</v>
      </c>
    </row>
    <row r="126" spans="1:12" x14ac:dyDescent="0.25">
      <c r="A126">
        <f t="shared" si="8"/>
        <v>4.958333333333333</v>
      </c>
      <c r="C126" s="262">
        <v>119</v>
      </c>
      <c r="D126" s="266">
        <f t="shared" si="14"/>
        <v>277628.52834155707</v>
      </c>
      <c r="E126" s="258">
        <f t="shared" si="15"/>
        <v>336</v>
      </c>
      <c r="F126" s="258">
        <f t="shared" si="15"/>
        <v>27.52</v>
      </c>
      <c r="G126" s="258">
        <f t="shared" si="15"/>
        <v>3.44</v>
      </c>
      <c r="K126">
        <f t="shared" si="11"/>
        <v>2</v>
      </c>
      <c r="L126">
        <f t="shared" si="12"/>
        <v>0.8</v>
      </c>
    </row>
    <row r="127" spans="1:12" x14ac:dyDescent="0.25">
      <c r="A127">
        <f t="shared" si="8"/>
        <v>5</v>
      </c>
      <c r="C127" s="262">
        <v>120</v>
      </c>
      <c r="D127" s="266">
        <f t="shared" si="14"/>
        <v>263432.63932483224</v>
      </c>
      <c r="E127" s="258">
        <f t="shared" si="15"/>
        <v>336</v>
      </c>
      <c r="F127" s="258">
        <f t="shared" si="15"/>
        <v>27.52</v>
      </c>
      <c r="G127" s="258">
        <f t="shared" si="15"/>
        <v>3.44</v>
      </c>
      <c r="K127">
        <f t="shared" si="11"/>
        <v>2</v>
      </c>
      <c r="L127">
        <f t="shared" si="12"/>
        <v>0.8</v>
      </c>
    </row>
    <row r="128" spans="1:12" x14ac:dyDescent="0.25">
      <c r="A128">
        <f t="shared" si="8"/>
        <v>5.041666666666667</v>
      </c>
      <c r="C128" s="262">
        <v>121</v>
      </c>
      <c r="D128" s="266">
        <f t="shared" si="14"/>
        <v>246276.65055677434</v>
      </c>
      <c r="E128" s="258">
        <f t="shared" si="15"/>
        <v>336</v>
      </c>
      <c r="F128" s="258">
        <f t="shared" si="15"/>
        <v>27.52</v>
      </c>
      <c r="G128" s="258">
        <f t="shared" si="15"/>
        <v>3.44</v>
      </c>
      <c r="K128">
        <f t="shared" si="11"/>
        <v>2</v>
      </c>
      <c r="L128">
        <f t="shared" si="12"/>
        <v>0.8</v>
      </c>
    </row>
    <row r="129" spans="1:12" x14ac:dyDescent="0.25">
      <c r="A129">
        <f t="shared" si="8"/>
        <v>5.083333333333333</v>
      </c>
      <c r="C129" s="262">
        <v>122</v>
      </c>
      <c r="D129" s="266">
        <f t="shared" si="14"/>
        <v>229520.79033987047</v>
      </c>
      <c r="E129" s="258">
        <f t="shared" si="15"/>
        <v>336</v>
      </c>
      <c r="F129" s="258">
        <f t="shared" si="15"/>
        <v>27.52</v>
      </c>
      <c r="G129" s="258">
        <f t="shared" si="15"/>
        <v>3.44</v>
      </c>
      <c r="K129">
        <f t="shared" si="11"/>
        <v>2</v>
      </c>
      <c r="L129">
        <f t="shared" si="12"/>
        <v>0.8</v>
      </c>
    </row>
    <row r="130" spans="1:12" x14ac:dyDescent="0.25">
      <c r="A130">
        <f t="shared" si="8"/>
        <v>5.125</v>
      </c>
      <c r="C130" s="262">
        <v>123</v>
      </c>
      <c r="D130" s="266">
        <f t="shared" si="14"/>
        <v>216894.85004929831</v>
      </c>
      <c r="E130" s="258">
        <f t="shared" si="15"/>
        <v>336</v>
      </c>
      <c r="F130" s="258">
        <f t="shared" si="15"/>
        <v>27.52</v>
      </c>
      <c r="G130" s="258">
        <f t="shared" si="15"/>
        <v>3.44</v>
      </c>
      <c r="K130">
        <f t="shared" si="11"/>
        <v>2</v>
      </c>
      <c r="L130">
        <f t="shared" si="12"/>
        <v>0.8</v>
      </c>
    </row>
    <row r="131" spans="1:12" x14ac:dyDescent="0.25">
      <c r="A131">
        <f t="shared" si="8"/>
        <v>5.166666666666667</v>
      </c>
      <c r="C131" s="262">
        <v>124</v>
      </c>
      <c r="D131" s="266">
        <f t="shared" si="14"/>
        <v>211550.57737236036</v>
      </c>
      <c r="E131" s="258">
        <f t="shared" si="15"/>
        <v>336</v>
      </c>
      <c r="F131" s="258">
        <f t="shared" si="15"/>
        <v>27.52</v>
      </c>
      <c r="G131" s="258">
        <f t="shared" si="15"/>
        <v>3.44</v>
      </c>
      <c r="K131">
        <f t="shared" si="11"/>
        <v>2</v>
      </c>
      <c r="L131">
        <f t="shared" si="12"/>
        <v>0.8</v>
      </c>
    </row>
    <row r="132" spans="1:12" x14ac:dyDescent="0.25">
      <c r="A132">
        <f t="shared" si="8"/>
        <v>5.208333333333333</v>
      </c>
      <c r="C132" s="262">
        <v>125</v>
      </c>
      <c r="D132" s="266">
        <f t="shared" si="14"/>
        <v>215232.93505457431</v>
      </c>
      <c r="E132" s="258">
        <f t="shared" si="15"/>
        <v>336</v>
      </c>
      <c r="F132" s="258">
        <f t="shared" si="15"/>
        <v>27.52</v>
      </c>
      <c r="G132" s="258">
        <f t="shared" si="15"/>
        <v>3.44</v>
      </c>
      <c r="K132">
        <f t="shared" si="11"/>
        <v>2</v>
      </c>
      <c r="L132">
        <f t="shared" si="12"/>
        <v>0.8</v>
      </c>
    </row>
    <row r="133" spans="1:12" x14ac:dyDescent="0.25">
      <c r="A133">
        <f t="shared" si="8"/>
        <v>5.25</v>
      </c>
      <c r="C133" s="262">
        <v>126</v>
      </c>
      <c r="D133" s="266">
        <f t="shared" si="14"/>
        <v>227791.2112075786</v>
      </c>
      <c r="E133" s="258">
        <f t="shared" si="15"/>
        <v>336</v>
      </c>
      <c r="F133" s="258">
        <f t="shared" si="15"/>
        <v>27.52</v>
      </c>
      <c r="G133" s="258">
        <f t="shared" si="15"/>
        <v>3.44</v>
      </c>
      <c r="K133">
        <f t="shared" si="11"/>
        <v>2</v>
      </c>
      <c r="L133">
        <f t="shared" si="12"/>
        <v>0.8</v>
      </c>
    </row>
    <row r="134" spans="1:12" x14ac:dyDescent="0.25">
      <c r="A134">
        <f t="shared" si="8"/>
        <v>5.291666666666667</v>
      </c>
      <c r="C134" s="262">
        <v>127</v>
      </c>
      <c r="D134" s="266">
        <f t="shared" si="14"/>
        <v>247162.43226772707</v>
      </c>
      <c r="E134" s="258">
        <f t="shared" si="15"/>
        <v>336</v>
      </c>
      <c r="F134" s="258">
        <f t="shared" si="15"/>
        <v>27.52</v>
      </c>
      <c r="G134" s="258">
        <f t="shared" si="15"/>
        <v>3.44</v>
      </c>
      <c r="K134">
        <f t="shared" si="11"/>
        <v>2</v>
      </c>
      <c r="L134">
        <f t="shared" si="12"/>
        <v>0.8</v>
      </c>
    </row>
    <row r="135" spans="1:12" x14ac:dyDescent="0.25">
      <c r="A135">
        <f t="shared" si="8"/>
        <v>5.333333333333333</v>
      </c>
      <c r="C135" s="262">
        <v>128</v>
      </c>
      <c r="D135" s="266">
        <f t="shared" si="14"/>
        <v>269835.4055126718</v>
      </c>
      <c r="E135" s="258">
        <f t="shared" si="15"/>
        <v>336</v>
      </c>
      <c r="F135" s="258">
        <f t="shared" si="15"/>
        <v>27.52</v>
      </c>
      <c r="G135" s="258">
        <f t="shared" si="15"/>
        <v>3.44</v>
      </c>
      <c r="K135">
        <f t="shared" si="11"/>
        <v>2</v>
      </c>
      <c r="L135">
        <f t="shared" si="12"/>
        <v>0.8</v>
      </c>
    </row>
    <row r="136" spans="1:12" x14ac:dyDescent="0.25">
      <c r="A136">
        <f t="shared" ref="A136:A199" si="16">C136/24</f>
        <v>5.375</v>
      </c>
      <c r="C136" s="262">
        <v>129</v>
      </c>
      <c r="D136" s="266">
        <f t="shared" si="14"/>
        <v>291677.09809286549</v>
      </c>
      <c r="E136" s="258">
        <f t="shared" si="15"/>
        <v>336</v>
      </c>
      <c r="F136" s="258">
        <f t="shared" si="15"/>
        <v>27.52</v>
      </c>
      <c r="G136" s="258">
        <f t="shared" si="15"/>
        <v>3.44</v>
      </c>
      <c r="K136">
        <f t="shared" si="11"/>
        <v>2</v>
      </c>
      <c r="L136">
        <f t="shared" si="12"/>
        <v>0.8</v>
      </c>
    </row>
    <row r="137" spans="1:12" x14ac:dyDescent="0.25">
      <c r="A137">
        <f t="shared" si="16"/>
        <v>5.416666666666667</v>
      </c>
      <c r="C137" s="262">
        <v>130</v>
      </c>
      <c r="D137" s="266">
        <f t="shared" si="14"/>
        <v>308907.7240322188</v>
      </c>
      <c r="E137" s="258">
        <f t="shared" si="15"/>
        <v>336</v>
      </c>
      <c r="F137" s="258">
        <f t="shared" si="15"/>
        <v>27.52</v>
      </c>
      <c r="G137" s="258">
        <f t="shared" si="15"/>
        <v>3.44</v>
      </c>
      <c r="K137">
        <f t="shared" si="11"/>
        <v>2</v>
      </c>
      <c r="L137">
        <f t="shared" si="12"/>
        <v>0.8</v>
      </c>
    </row>
    <row r="138" spans="1:12" x14ac:dyDescent="0.25">
      <c r="A138">
        <f t="shared" si="16"/>
        <v>5.458333333333333</v>
      </c>
      <c r="C138" s="262">
        <v>131</v>
      </c>
      <c r="D138" s="266">
        <f t="shared" si="14"/>
        <v>318972.2852535079</v>
      </c>
      <c r="E138" s="258">
        <f t="shared" si="15"/>
        <v>336</v>
      </c>
      <c r="F138" s="258">
        <f t="shared" si="15"/>
        <v>27.52</v>
      </c>
      <c r="G138" s="258">
        <f t="shared" si="15"/>
        <v>3.44</v>
      </c>
      <c r="K138">
        <f t="shared" si="11"/>
        <v>2</v>
      </c>
      <c r="L138">
        <f t="shared" si="12"/>
        <v>0.8</v>
      </c>
    </row>
    <row r="139" spans="1:12" x14ac:dyDescent="0.25">
      <c r="A139">
        <f t="shared" si="16"/>
        <v>5.5</v>
      </c>
      <c r="C139" s="262">
        <v>132</v>
      </c>
      <c r="D139" s="266">
        <f t="shared" si="14"/>
        <v>321084.6638396784</v>
      </c>
      <c r="E139" s="258">
        <f t="shared" si="15"/>
        <v>336</v>
      </c>
      <c r="F139" s="258">
        <f t="shared" si="15"/>
        <v>27.52</v>
      </c>
      <c r="G139" s="258">
        <f t="shared" si="15"/>
        <v>3.44</v>
      </c>
      <c r="K139">
        <f t="shared" si="11"/>
        <v>2</v>
      </c>
      <c r="L139">
        <f t="shared" si="12"/>
        <v>0.8</v>
      </c>
    </row>
    <row r="140" spans="1:12" x14ac:dyDescent="0.25">
      <c r="A140">
        <f t="shared" si="16"/>
        <v>5.541666666666667</v>
      </c>
      <c r="C140" s="262">
        <v>133</v>
      </c>
      <c r="D140" s="266">
        <f t="shared" si="14"/>
        <v>316308.05247830477</v>
      </c>
      <c r="E140" s="258">
        <f t="shared" si="15"/>
        <v>336</v>
      </c>
      <c r="F140" s="258">
        <f t="shared" si="15"/>
        <v>27.52</v>
      </c>
      <c r="G140" s="258">
        <f t="shared" si="15"/>
        <v>3.44</v>
      </c>
      <c r="K140">
        <f t="shared" si="11"/>
        <v>2</v>
      </c>
      <c r="L140">
        <f t="shared" si="12"/>
        <v>0.8</v>
      </c>
    </row>
    <row r="141" spans="1:12" x14ac:dyDescent="0.25">
      <c r="A141">
        <f t="shared" si="16"/>
        <v>5.583333333333333</v>
      </c>
      <c r="C141" s="262">
        <v>134</v>
      </c>
      <c r="D141" s="266">
        <f t="shared" si="14"/>
        <v>307159.04535949661</v>
      </c>
      <c r="E141" s="258">
        <f t="shared" si="15"/>
        <v>336</v>
      </c>
      <c r="F141" s="258">
        <f t="shared" si="15"/>
        <v>27.52</v>
      </c>
      <c r="G141" s="258">
        <f t="shared" si="15"/>
        <v>3.44</v>
      </c>
      <c r="K141">
        <f t="shared" si="11"/>
        <v>2</v>
      </c>
      <c r="L141">
        <f t="shared" si="12"/>
        <v>0.8</v>
      </c>
    </row>
    <row r="142" spans="1:12" x14ac:dyDescent="0.25">
      <c r="A142">
        <f t="shared" si="16"/>
        <v>5.625</v>
      </c>
      <c r="C142" s="262">
        <v>135</v>
      </c>
      <c r="D142" s="266">
        <f t="shared" si="14"/>
        <v>296849.03939071536</v>
      </c>
      <c r="E142" s="258">
        <f t="shared" si="15"/>
        <v>336</v>
      </c>
      <c r="F142" s="258">
        <f t="shared" si="15"/>
        <v>27.52</v>
      </c>
      <c r="G142" s="258">
        <f t="shared" si="15"/>
        <v>3.44</v>
      </c>
      <c r="K142">
        <f t="shared" si="11"/>
        <v>2</v>
      </c>
      <c r="L142">
        <f t="shared" si="12"/>
        <v>0.8</v>
      </c>
    </row>
    <row r="143" spans="1:12" x14ac:dyDescent="0.25">
      <c r="A143">
        <f t="shared" si="16"/>
        <v>5.666666666666667</v>
      </c>
      <c r="C143" s="262">
        <v>136</v>
      </c>
      <c r="D143" s="266">
        <f t="shared" si="14"/>
        <v>288371.95516249607</v>
      </c>
      <c r="E143" s="258">
        <f t="shared" si="15"/>
        <v>336</v>
      </c>
      <c r="F143" s="258">
        <f t="shared" si="15"/>
        <v>27.52</v>
      </c>
      <c r="G143" s="258">
        <f t="shared" si="15"/>
        <v>3.44</v>
      </c>
      <c r="K143">
        <f t="shared" si="11"/>
        <v>2</v>
      </c>
      <c r="L143">
        <f t="shared" si="12"/>
        <v>0.8</v>
      </c>
    </row>
    <row r="144" spans="1:12" x14ac:dyDescent="0.25">
      <c r="A144">
        <f t="shared" si="16"/>
        <v>5.708333333333333</v>
      </c>
      <c r="C144" s="262">
        <v>137</v>
      </c>
      <c r="D144" s="266">
        <f t="shared" si="14"/>
        <v>283686.25135036034</v>
      </c>
      <c r="E144" s="258">
        <f t="shared" si="15"/>
        <v>336</v>
      </c>
      <c r="F144" s="258">
        <f t="shared" si="15"/>
        <v>27.52</v>
      </c>
      <c r="G144" s="258">
        <f t="shared" si="15"/>
        <v>3.44</v>
      </c>
      <c r="K144">
        <f t="shared" ref="K144:K174" si="17">$T$9</f>
        <v>2</v>
      </c>
      <c r="L144">
        <f t="shared" ref="L144:L174" si="18">$U$9</f>
        <v>0.8</v>
      </c>
    </row>
    <row r="145" spans="1:12" x14ac:dyDescent="0.25">
      <c r="A145">
        <f t="shared" si="16"/>
        <v>5.75</v>
      </c>
      <c r="C145" s="262">
        <v>138</v>
      </c>
      <c r="D145" s="266">
        <f t="shared" si="14"/>
        <v>283211.48562791094</v>
      </c>
      <c r="E145" s="258">
        <f t="shared" si="15"/>
        <v>336</v>
      </c>
      <c r="F145" s="258">
        <f t="shared" si="15"/>
        <v>27.52</v>
      </c>
      <c r="G145" s="258">
        <f t="shared" si="15"/>
        <v>3.44</v>
      </c>
      <c r="K145">
        <f t="shared" si="17"/>
        <v>2</v>
      </c>
      <c r="L145">
        <f t="shared" si="18"/>
        <v>0.8</v>
      </c>
    </row>
    <row r="146" spans="1:12" x14ac:dyDescent="0.25">
      <c r="A146">
        <f t="shared" si="16"/>
        <v>5.791666666666667</v>
      </c>
      <c r="C146" s="262">
        <v>139</v>
      </c>
      <c r="D146" s="266">
        <f t="shared" si="14"/>
        <v>285772.8646971939</v>
      </c>
      <c r="E146" s="258">
        <f t="shared" si="15"/>
        <v>336</v>
      </c>
      <c r="F146" s="258">
        <f t="shared" si="15"/>
        <v>27.52</v>
      </c>
      <c r="G146" s="258">
        <f t="shared" si="15"/>
        <v>3.44</v>
      </c>
      <c r="K146">
        <f t="shared" si="17"/>
        <v>2</v>
      </c>
      <c r="L146">
        <f t="shared" si="18"/>
        <v>0.8</v>
      </c>
    </row>
    <row r="147" spans="1:12" x14ac:dyDescent="0.25">
      <c r="A147">
        <f t="shared" si="16"/>
        <v>5.833333333333333</v>
      </c>
      <c r="C147" s="262">
        <v>140</v>
      </c>
      <c r="D147" s="266">
        <f t="shared" si="14"/>
        <v>289004.75878796127</v>
      </c>
      <c r="E147" s="258">
        <f t="shared" si="15"/>
        <v>336</v>
      </c>
      <c r="F147" s="258">
        <f t="shared" si="15"/>
        <v>27.52</v>
      </c>
      <c r="G147" s="258">
        <f t="shared" si="15"/>
        <v>3.44</v>
      </c>
      <c r="K147">
        <f t="shared" si="17"/>
        <v>2</v>
      </c>
      <c r="L147">
        <f t="shared" si="18"/>
        <v>0.8</v>
      </c>
    </row>
    <row r="148" spans="1:12" x14ac:dyDescent="0.25">
      <c r="A148">
        <f t="shared" si="16"/>
        <v>5.875</v>
      </c>
      <c r="C148" s="262">
        <v>141</v>
      </c>
      <c r="D148" s="266">
        <f t="shared" si="14"/>
        <v>290099.01246712072</v>
      </c>
      <c r="E148" s="258">
        <f t="shared" si="15"/>
        <v>336</v>
      </c>
      <c r="F148" s="258">
        <f t="shared" si="15"/>
        <v>27.52</v>
      </c>
      <c r="G148" s="258">
        <f t="shared" si="15"/>
        <v>3.44</v>
      </c>
      <c r="K148">
        <f t="shared" si="17"/>
        <v>2</v>
      </c>
      <c r="L148">
        <f t="shared" si="18"/>
        <v>0.8</v>
      </c>
    </row>
    <row r="149" spans="1:12" x14ac:dyDescent="0.25">
      <c r="A149">
        <f t="shared" si="16"/>
        <v>5.916666666666667</v>
      </c>
      <c r="C149" s="262">
        <v>142</v>
      </c>
      <c r="D149" s="266">
        <f t="shared" si="14"/>
        <v>286689.7434329245</v>
      </c>
      <c r="E149" s="258">
        <f t="shared" si="15"/>
        <v>336</v>
      </c>
      <c r="F149" s="258">
        <f t="shared" si="15"/>
        <v>27.52</v>
      </c>
      <c r="G149" s="258">
        <f t="shared" si="15"/>
        <v>3.44</v>
      </c>
      <c r="K149">
        <f t="shared" si="17"/>
        <v>2</v>
      </c>
      <c r="L149">
        <f t="shared" si="18"/>
        <v>0.8</v>
      </c>
    </row>
    <row r="150" spans="1:12" x14ac:dyDescent="0.25">
      <c r="A150">
        <f t="shared" si="16"/>
        <v>5.958333333333333</v>
      </c>
      <c r="C150" s="262">
        <v>143</v>
      </c>
      <c r="D150" s="266">
        <f t="shared" si="14"/>
        <v>277628.52834155707</v>
      </c>
      <c r="E150" s="258">
        <f t="shared" si="15"/>
        <v>336</v>
      </c>
      <c r="F150" s="258">
        <f t="shared" si="15"/>
        <v>27.52</v>
      </c>
      <c r="G150" s="258">
        <f t="shared" si="15"/>
        <v>3.44</v>
      </c>
      <c r="K150">
        <f t="shared" si="17"/>
        <v>2</v>
      </c>
      <c r="L150">
        <f t="shared" si="18"/>
        <v>0.8</v>
      </c>
    </row>
    <row r="151" spans="1:12" x14ac:dyDescent="0.25">
      <c r="A151">
        <f t="shared" si="16"/>
        <v>6</v>
      </c>
      <c r="C151" s="262">
        <v>144</v>
      </c>
      <c r="D151" s="266">
        <f t="shared" si="14"/>
        <v>263432.63932483224</v>
      </c>
      <c r="E151" s="258">
        <f t="shared" si="15"/>
        <v>336</v>
      </c>
      <c r="F151" s="258">
        <f t="shared" si="15"/>
        <v>27.52</v>
      </c>
      <c r="G151" s="258">
        <f t="shared" si="15"/>
        <v>3.44</v>
      </c>
      <c r="K151">
        <f t="shared" si="17"/>
        <v>2</v>
      </c>
      <c r="L151">
        <f t="shared" si="18"/>
        <v>0.8</v>
      </c>
    </row>
    <row r="152" spans="1:12" x14ac:dyDescent="0.25">
      <c r="A152">
        <f t="shared" si="16"/>
        <v>6.041666666666667</v>
      </c>
      <c r="C152" s="262">
        <v>145</v>
      </c>
      <c r="D152" s="266">
        <f t="shared" si="14"/>
        <v>246276.65055677434</v>
      </c>
      <c r="E152" s="258">
        <f t="shared" si="15"/>
        <v>336</v>
      </c>
      <c r="F152" s="258">
        <f t="shared" si="15"/>
        <v>27.52</v>
      </c>
      <c r="G152" s="258">
        <f t="shared" si="15"/>
        <v>3.44</v>
      </c>
      <c r="K152">
        <f t="shared" si="17"/>
        <v>2</v>
      </c>
      <c r="L152">
        <f t="shared" si="18"/>
        <v>0.8</v>
      </c>
    </row>
    <row r="153" spans="1:12" x14ac:dyDescent="0.25">
      <c r="A153">
        <f t="shared" si="16"/>
        <v>6.083333333333333</v>
      </c>
      <c r="C153" s="262">
        <v>146</v>
      </c>
      <c r="D153" s="266">
        <f t="shared" si="14"/>
        <v>229520.79033987047</v>
      </c>
      <c r="E153" s="258">
        <f t="shared" si="15"/>
        <v>336</v>
      </c>
      <c r="F153" s="258">
        <f t="shared" si="15"/>
        <v>27.52</v>
      </c>
      <c r="G153" s="258">
        <f t="shared" si="15"/>
        <v>3.44</v>
      </c>
      <c r="K153">
        <f t="shared" si="17"/>
        <v>2</v>
      </c>
      <c r="L153">
        <f t="shared" si="18"/>
        <v>0.8</v>
      </c>
    </row>
    <row r="154" spans="1:12" x14ac:dyDescent="0.25">
      <c r="A154">
        <f t="shared" si="16"/>
        <v>6.125</v>
      </c>
      <c r="C154" s="262">
        <v>147</v>
      </c>
      <c r="D154" s="266">
        <f t="shared" si="14"/>
        <v>216894.85004929831</v>
      </c>
      <c r="E154" s="258">
        <f t="shared" si="15"/>
        <v>336</v>
      </c>
      <c r="F154" s="258">
        <f t="shared" si="15"/>
        <v>27.52</v>
      </c>
      <c r="G154" s="258">
        <f t="shared" si="15"/>
        <v>3.44</v>
      </c>
      <c r="K154">
        <f t="shared" si="17"/>
        <v>2</v>
      </c>
      <c r="L154">
        <f t="shared" si="18"/>
        <v>0.8</v>
      </c>
    </row>
    <row r="155" spans="1:12" x14ac:dyDescent="0.25">
      <c r="A155">
        <f t="shared" si="16"/>
        <v>6.166666666666667</v>
      </c>
      <c r="C155" s="262">
        <v>148</v>
      </c>
      <c r="D155" s="266">
        <f t="shared" si="14"/>
        <v>211550.57737236036</v>
      </c>
      <c r="E155" s="258">
        <f t="shared" si="15"/>
        <v>336</v>
      </c>
      <c r="F155" s="258">
        <f t="shared" si="15"/>
        <v>27.52</v>
      </c>
      <c r="G155" s="258">
        <f t="shared" si="15"/>
        <v>3.44</v>
      </c>
      <c r="K155">
        <f t="shared" si="17"/>
        <v>2</v>
      </c>
      <c r="L155">
        <f t="shared" si="18"/>
        <v>0.8</v>
      </c>
    </row>
    <row r="156" spans="1:12" x14ac:dyDescent="0.25">
      <c r="A156">
        <f t="shared" si="16"/>
        <v>6.208333333333333</v>
      </c>
      <c r="C156" s="262">
        <v>149</v>
      </c>
      <c r="D156" s="266">
        <f t="shared" si="14"/>
        <v>215232.93505457431</v>
      </c>
      <c r="E156" s="258">
        <f t="shared" si="15"/>
        <v>336</v>
      </c>
      <c r="F156" s="258">
        <f t="shared" si="15"/>
        <v>27.52</v>
      </c>
      <c r="G156" s="258">
        <f t="shared" si="15"/>
        <v>3.44</v>
      </c>
      <c r="K156">
        <f t="shared" si="17"/>
        <v>2</v>
      </c>
      <c r="L156">
        <f t="shared" si="18"/>
        <v>0.8</v>
      </c>
    </row>
    <row r="157" spans="1:12" x14ac:dyDescent="0.25">
      <c r="A157">
        <f t="shared" si="16"/>
        <v>6.25</v>
      </c>
      <c r="C157" s="262">
        <v>150</v>
      </c>
      <c r="D157" s="266">
        <f t="shared" si="14"/>
        <v>227791.2112075786</v>
      </c>
      <c r="E157" s="258">
        <f t="shared" si="15"/>
        <v>336</v>
      </c>
      <c r="F157" s="258">
        <f t="shared" si="15"/>
        <v>27.52</v>
      </c>
      <c r="G157" s="258">
        <f t="shared" si="15"/>
        <v>3.44</v>
      </c>
      <c r="K157">
        <f t="shared" si="17"/>
        <v>2</v>
      </c>
      <c r="L157">
        <f t="shared" si="18"/>
        <v>0.8</v>
      </c>
    </row>
    <row r="158" spans="1:12" x14ac:dyDescent="0.25">
      <c r="A158">
        <f t="shared" si="16"/>
        <v>6.291666666666667</v>
      </c>
      <c r="C158" s="262">
        <v>151</v>
      </c>
      <c r="D158" s="266">
        <f t="shared" si="14"/>
        <v>247162.43226772707</v>
      </c>
      <c r="E158" s="258">
        <f t="shared" si="15"/>
        <v>336</v>
      </c>
      <c r="F158" s="258">
        <f t="shared" si="15"/>
        <v>27.52</v>
      </c>
      <c r="G158" s="258">
        <f t="shared" si="15"/>
        <v>3.44</v>
      </c>
      <c r="K158">
        <f t="shared" si="17"/>
        <v>2</v>
      </c>
      <c r="L158">
        <f t="shared" si="18"/>
        <v>0.8</v>
      </c>
    </row>
    <row r="159" spans="1:12" x14ac:dyDescent="0.25">
      <c r="A159">
        <f t="shared" si="16"/>
        <v>6.333333333333333</v>
      </c>
      <c r="C159" s="262">
        <v>152</v>
      </c>
      <c r="D159" s="266">
        <f t="shared" si="14"/>
        <v>269835.4055126718</v>
      </c>
      <c r="E159" s="258">
        <f t="shared" si="15"/>
        <v>336</v>
      </c>
      <c r="F159" s="258">
        <f t="shared" si="15"/>
        <v>27.52</v>
      </c>
      <c r="G159" s="258">
        <f t="shared" si="15"/>
        <v>3.44</v>
      </c>
      <c r="K159">
        <f t="shared" si="17"/>
        <v>2</v>
      </c>
      <c r="L159">
        <f t="shared" si="18"/>
        <v>0.8</v>
      </c>
    </row>
    <row r="160" spans="1:12" x14ac:dyDescent="0.25">
      <c r="A160">
        <f t="shared" si="16"/>
        <v>6.375</v>
      </c>
      <c r="C160" s="262">
        <v>153</v>
      </c>
      <c r="D160" s="266">
        <f t="shared" si="14"/>
        <v>291677.09809286549</v>
      </c>
      <c r="E160" s="258">
        <f t="shared" si="15"/>
        <v>336</v>
      </c>
      <c r="F160" s="258">
        <f t="shared" si="15"/>
        <v>27.52</v>
      </c>
      <c r="G160" s="258">
        <f t="shared" si="15"/>
        <v>3.44</v>
      </c>
      <c r="K160">
        <f t="shared" si="17"/>
        <v>2</v>
      </c>
      <c r="L160">
        <f t="shared" si="18"/>
        <v>0.8</v>
      </c>
    </row>
    <row r="161" spans="1:14" x14ac:dyDescent="0.25">
      <c r="A161">
        <f t="shared" si="16"/>
        <v>6.416666666666667</v>
      </c>
      <c r="C161" s="262">
        <v>154</v>
      </c>
      <c r="D161" s="266">
        <f t="shared" si="14"/>
        <v>308907.7240322188</v>
      </c>
      <c r="E161" s="258">
        <f t="shared" si="15"/>
        <v>336</v>
      </c>
      <c r="F161" s="258">
        <f t="shared" si="15"/>
        <v>27.52</v>
      </c>
      <c r="G161" s="258">
        <f t="shared" si="15"/>
        <v>3.44</v>
      </c>
      <c r="K161">
        <f t="shared" si="17"/>
        <v>2</v>
      </c>
      <c r="L161">
        <f t="shared" si="18"/>
        <v>0.8</v>
      </c>
    </row>
    <row r="162" spans="1:14" x14ac:dyDescent="0.25">
      <c r="A162">
        <f t="shared" si="16"/>
        <v>6.458333333333333</v>
      </c>
      <c r="C162" s="262">
        <v>155</v>
      </c>
      <c r="D162" s="266">
        <f t="shared" si="14"/>
        <v>318972.2852535079</v>
      </c>
      <c r="E162" s="258">
        <f t="shared" si="15"/>
        <v>336</v>
      </c>
      <c r="F162" s="258">
        <f t="shared" si="15"/>
        <v>27.52</v>
      </c>
      <c r="G162" s="258">
        <f t="shared" si="15"/>
        <v>3.44</v>
      </c>
      <c r="K162">
        <f t="shared" si="17"/>
        <v>2</v>
      </c>
      <c r="L162">
        <f t="shared" si="18"/>
        <v>0.8</v>
      </c>
    </row>
    <row r="163" spans="1:14" x14ac:dyDescent="0.25">
      <c r="A163">
        <f t="shared" si="16"/>
        <v>6.5</v>
      </c>
      <c r="C163" s="262">
        <v>156</v>
      </c>
      <c r="D163" s="266">
        <f t="shared" si="14"/>
        <v>321084.6638396784</v>
      </c>
      <c r="E163" s="258">
        <f t="shared" si="15"/>
        <v>336</v>
      </c>
      <c r="F163" s="258">
        <f t="shared" si="15"/>
        <v>27.52</v>
      </c>
      <c r="G163" s="258">
        <f t="shared" si="15"/>
        <v>3.44</v>
      </c>
      <c r="K163">
        <f t="shared" si="17"/>
        <v>2</v>
      </c>
      <c r="L163">
        <f t="shared" si="18"/>
        <v>0.8</v>
      </c>
    </row>
    <row r="164" spans="1:14" x14ac:dyDescent="0.25">
      <c r="A164">
        <f t="shared" si="16"/>
        <v>6.541666666666667</v>
      </c>
      <c r="C164" s="262">
        <v>157</v>
      </c>
      <c r="D164" s="266">
        <f t="shared" si="14"/>
        <v>316308.05247830477</v>
      </c>
      <c r="E164" s="258">
        <f t="shared" si="15"/>
        <v>336</v>
      </c>
      <c r="F164" s="258">
        <f t="shared" si="15"/>
        <v>27.52</v>
      </c>
      <c r="G164" s="258">
        <f t="shared" si="15"/>
        <v>3.44</v>
      </c>
      <c r="K164">
        <f t="shared" si="17"/>
        <v>2</v>
      </c>
      <c r="L164">
        <f t="shared" si="18"/>
        <v>0.8</v>
      </c>
    </row>
    <row r="165" spans="1:14" x14ac:dyDescent="0.25">
      <c r="A165">
        <f t="shared" si="16"/>
        <v>6.583333333333333</v>
      </c>
      <c r="C165" s="262">
        <v>158</v>
      </c>
      <c r="D165" s="266">
        <f t="shared" si="14"/>
        <v>307159.04535949661</v>
      </c>
      <c r="E165" s="258">
        <f t="shared" si="15"/>
        <v>336</v>
      </c>
      <c r="F165" s="258">
        <f t="shared" si="15"/>
        <v>27.52</v>
      </c>
      <c r="G165" s="258">
        <f t="shared" si="15"/>
        <v>3.44</v>
      </c>
      <c r="K165">
        <f t="shared" si="17"/>
        <v>2</v>
      </c>
      <c r="L165">
        <f t="shared" si="18"/>
        <v>0.8</v>
      </c>
    </row>
    <row r="166" spans="1:14" x14ac:dyDescent="0.25">
      <c r="A166">
        <f t="shared" si="16"/>
        <v>6.625</v>
      </c>
      <c r="C166" s="262">
        <v>159</v>
      </c>
      <c r="D166" s="266">
        <f t="shared" si="14"/>
        <v>296849.03939071536</v>
      </c>
      <c r="E166" s="258">
        <f t="shared" si="15"/>
        <v>336</v>
      </c>
      <c r="F166" s="258">
        <f t="shared" si="15"/>
        <v>27.52</v>
      </c>
      <c r="G166" s="258">
        <f t="shared" si="15"/>
        <v>3.44</v>
      </c>
      <c r="K166">
        <f t="shared" si="17"/>
        <v>2</v>
      </c>
      <c r="L166">
        <f t="shared" si="18"/>
        <v>0.8</v>
      </c>
    </row>
    <row r="167" spans="1:14" x14ac:dyDescent="0.25">
      <c r="A167">
        <f t="shared" si="16"/>
        <v>6.666666666666667</v>
      </c>
      <c r="C167" s="262">
        <v>160</v>
      </c>
      <c r="D167" s="266">
        <f t="shared" si="14"/>
        <v>288371.95516249607</v>
      </c>
      <c r="E167" s="258">
        <f t="shared" si="15"/>
        <v>336</v>
      </c>
      <c r="F167" s="258">
        <f t="shared" si="15"/>
        <v>27.52</v>
      </c>
      <c r="G167" s="258">
        <f t="shared" si="15"/>
        <v>3.44</v>
      </c>
      <c r="K167">
        <f t="shared" si="17"/>
        <v>2</v>
      </c>
      <c r="L167">
        <f t="shared" si="18"/>
        <v>0.8</v>
      </c>
    </row>
    <row r="168" spans="1:14" x14ac:dyDescent="0.25">
      <c r="A168">
        <f t="shared" si="16"/>
        <v>6.708333333333333</v>
      </c>
      <c r="C168" s="262">
        <v>161</v>
      </c>
      <c r="D168" s="266">
        <f t="shared" ref="D168:D174" si="19">D72*K168</f>
        <v>283686.25135036034</v>
      </c>
      <c r="E168" s="258">
        <f t="shared" ref="E168:G231" si="20">E$3*$L168</f>
        <v>336</v>
      </c>
      <c r="F168" s="258">
        <f t="shared" si="20"/>
        <v>27.52</v>
      </c>
      <c r="G168" s="258">
        <f t="shared" si="20"/>
        <v>3.44</v>
      </c>
      <c r="K168">
        <f t="shared" si="17"/>
        <v>2</v>
      </c>
      <c r="L168">
        <f t="shared" si="18"/>
        <v>0.8</v>
      </c>
    </row>
    <row r="169" spans="1:14" x14ac:dyDescent="0.25">
      <c r="A169">
        <f t="shared" si="16"/>
        <v>6.75</v>
      </c>
      <c r="C169" s="262">
        <v>162</v>
      </c>
      <c r="D169" s="266">
        <f t="shared" si="19"/>
        <v>283211.48562791094</v>
      </c>
      <c r="E169" s="258">
        <f t="shared" si="20"/>
        <v>336</v>
      </c>
      <c r="F169" s="258">
        <f t="shared" si="20"/>
        <v>27.52</v>
      </c>
      <c r="G169" s="258">
        <f t="shared" si="20"/>
        <v>3.44</v>
      </c>
      <c r="K169">
        <f t="shared" si="17"/>
        <v>2</v>
      </c>
      <c r="L169">
        <f t="shared" si="18"/>
        <v>0.8</v>
      </c>
    </row>
    <row r="170" spans="1:14" x14ac:dyDescent="0.25">
      <c r="A170">
        <f t="shared" si="16"/>
        <v>6.791666666666667</v>
      </c>
      <c r="C170" s="262">
        <v>163</v>
      </c>
      <c r="D170" s="266">
        <f t="shared" si="19"/>
        <v>285772.8646971939</v>
      </c>
      <c r="E170" s="258">
        <f t="shared" si="20"/>
        <v>336</v>
      </c>
      <c r="F170" s="258">
        <f t="shared" si="20"/>
        <v>27.52</v>
      </c>
      <c r="G170" s="258">
        <f t="shared" si="20"/>
        <v>3.44</v>
      </c>
      <c r="K170">
        <f t="shared" si="17"/>
        <v>2</v>
      </c>
      <c r="L170">
        <f t="shared" si="18"/>
        <v>0.8</v>
      </c>
    </row>
    <row r="171" spans="1:14" x14ac:dyDescent="0.25">
      <c r="A171">
        <f t="shared" si="16"/>
        <v>6.833333333333333</v>
      </c>
      <c r="C171" s="262">
        <v>164</v>
      </c>
      <c r="D171" s="266">
        <f t="shared" si="19"/>
        <v>289004.75878796127</v>
      </c>
      <c r="E171" s="258">
        <f t="shared" si="20"/>
        <v>336</v>
      </c>
      <c r="F171" s="258">
        <f t="shared" si="20"/>
        <v>27.52</v>
      </c>
      <c r="G171" s="258">
        <f t="shared" si="20"/>
        <v>3.44</v>
      </c>
      <c r="K171">
        <f t="shared" si="17"/>
        <v>2</v>
      </c>
      <c r="L171">
        <f t="shared" si="18"/>
        <v>0.8</v>
      </c>
    </row>
    <row r="172" spans="1:14" x14ac:dyDescent="0.25">
      <c r="A172">
        <f t="shared" si="16"/>
        <v>6.875</v>
      </c>
      <c r="C172" s="262">
        <v>165</v>
      </c>
      <c r="D172" s="266">
        <f t="shared" si="19"/>
        <v>290099.01246712072</v>
      </c>
      <c r="E172" s="258">
        <f t="shared" si="20"/>
        <v>336</v>
      </c>
      <c r="F172" s="258">
        <f t="shared" si="20"/>
        <v>27.52</v>
      </c>
      <c r="G172" s="258">
        <f t="shared" si="20"/>
        <v>3.44</v>
      </c>
      <c r="K172">
        <f t="shared" si="17"/>
        <v>2</v>
      </c>
      <c r="L172">
        <f t="shared" si="18"/>
        <v>0.8</v>
      </c>
    </row>
    <row r="173" spans="1:14" x14ac:dyDescent="0.25">
      <c r="A173">
        <f t="shared" si="16"/>
        <v>6.916666666666667</v>
      </c>
      <c r="C173" s="262">
        <v>166</v>
      </c>
      <c r="D173" s="266">
        <f t="shared" si="19"/>
        <v>286689.7434329245</v>
      </c>
      <c r="E173" s="258">
        <f t="shared" si="20"/>
        <v>336</v>
      </c>
      <c r="F173" s="258">
        <f t="shared" si="20"/>
        <v>27.52</v>
      </c>
      <c r="G173" s="258">
        <f t="shared" si="20"/>
        <v>3.44</v>
      </c>
      <c r="K173">
        <f t="shared" si="17"/>
        <v>2</v>
      </c>
      <c r="L173">
        <f t="shared" si="18"/>
        <v>0.8</v>
      </c>
    </row>
    <row r="174" spans="1:14" x14ac:dyDescent="0.25">
      <c r="A174">
        <f t="shared" si="16"/>
        <v>6.958333333333333</v>
      </c>
      <c r="C174" s="262">
        <v>167</v>
      </c>
      <c r="D174" s="266">
        <f t="shared" si="19"/>
        <v>277628.52834155707</v>
      </c>
      <c r="E174" s="258">
        <f t="shared" si="20"/>
        <v>336</v>
      </c>
      <c r="F174" s="258">
        <f t="shared" si="20"/>
        <v>27.52</v>
      </c>
      <c r="G174" s="258">
        <f t="shared" si="20"/>
        <v>3.44</v>
      </c>
      <c r="K174">
        <f t="shared" si="17"/>
        <v>2</v>
      </c>
      <c r="L174">
        <f t="shared" si="18"/>
        <v>0.8</v>
      </c>
    </row>
    <row r="175" spans="1:14" x14ac:dyDescent="0.25">
      <c r="A175">
        <f t="shared" si="16"/>
        <v>7</v>
      </c>
      <c r="C175" s="263">
        <v>168</v>
      </c>
      <c r="D175" s="267">
        <f>D7*K175</f>
        <v>526865.27864966448</v>
      </c>
      <c r="E175" s="259">
        <f t="shared" si="20"/>
        <v>210</v>
      </c>
      <c r="F175" s="259">
        <f t="shared" si="20"/>
        <v>17.2</v>
      </c>
      <c r="G175" s="259">
        <f t="shared" si="20"/>
        <v>2.15</v>
      </c>
      <c r="K175">
        <f>$T$14</f>
        <v>4</v>
      </c>
      <c r="L175">
        <f>$U$14</f>
        <v>0.5</v>
      </c>
      <c r="N175" t="s">
        <v>325</v>
      </c>
    </row>
    <row r="176" spans="1:14" x14ac:dyDescent="0.25">
      <c r="A176">
        <f t="shared" si="16"/>
        <v>7.041666666666667</v>
      </c>
      <c r="C176" s="263">
        <v>169</v>
      </c>
      <c r="D176" s="267">
        <f t="shared" ref="D176:D198" si="21">D8*K176</f>
        <v>492553.30111354869</v>
      </c>
      <c r="E176" s="259">
        <f t="shared" si="20"/>
        <v>210</v>
      </c>
      <c r="F176" s="259">
        <f t="shared" si="20"/>
        <v>17.2</v>
      </c>
      <c r="G176" s="259">
        <f t="shared" si="20"/>
        <v>2.15</v>
      </c>
      <c r="K176">
        <f t="shared" ref="K176:K198" si="22">$T$14</f>
        <v>4</v>
      </c>
      <c r="L176">
        <f t="shared" ref="L176:L198" si="23">$U$14</f>
        <v>0.5</v>
      </c>
    </row>
    <row r="177" spans="1:12" x14ac:dyDescent="0.25">
      <c r="A177">
        <f t="shared" si="16"/>
        <v>7.083333333333333</v>
      </c>
      <c r="C177" s="263">
        <v>170</v>
      </c>
      <c r="D177" s="267">
        <f t="shared" si="21"/>
        <v>459041.58067974093</v>
      </c>
      <c r="E177" s="259">
        <f t="shared" si="20"/>
        <v>210</v>
      </c>
      <c r="F177" s="259">
        <f t="shared" si="20"/>
        <v>17.2</v>
      </c>
      <c r="G177" s="259">
        <f t="shared" si="20"/>
        <v>2.15</v>
      </c>
      <c r="K177">
        <f t="shared" si="22"/>
        <v>4</v>
      </c>
      <c r="L177">
        <f t="shared" si="23"/>
        <v>0.5</v>
      </c>
    </row>
    <row r="178" spans="1:12" x14ac:dyDescent="0.25">
      <c r="A178">
        <f t="shared" si="16"/>
        <v>7.125</v>
      </c>
      <c r="C178" s="263">
        <v>171</v>
      </c>
      <c r="D178" s="267">
        <f t="shared" si="21"/>
        <v>433789.70009859663</v>
      </c>
      <c r="E178" s="259">
        <f t="shared" si="20"/>
        <v>210</v>
      </c>
      <c r="F178" s="259">
        <f t="shared" si="20"/>
        <v>17.2</v>
      </c>
      <c r="G178" s="259">
        <f t="shared" si="20"/>
        <v>2.15</v>
      </c>
      <c r="K178">
        <f t="shared" si="22"/>
        <v>4</v>
      </c>
      <c r="L178">
        <f t="shared" si="23"/>
        <v>0.5</v>
      </c>
    </row>
    <row r="179" spans="1:12" x14ac:dyDescent="0.25">
      <c r="A179">
        <f t="shared" si="16"/>
        <v>7.166666666666667</v>
      </c>
      <c r="C179" s="263">
        <v>172</v>
      </c>
      <c r="D179" s="267">
        <f t="shared" si="21"/>
        <v>423101.15474472073</v>
      </c>
      <c r="E179" s="259">
        <f t="shared" si="20"/>
        <v>210</v>
      </c>
      <c r="F179" s="259">
        <f t="shared" si="20"/>
        <v>17.2</v>
      </c>
      <c r="G179" s="259">
        <f t="shared" si="20"/>
        <v>2.15</v>
      </c>
      <c r="K179">
        <f t="shared" si="22"/>
        <v>4</v>
      </c>
      <c r="L179">
        <f t="shared" si="23"/>
        <v>0.5</v>
      </c>
    </row>
    <row r="180" spans="1:12" x14ac:dyDescent="0.25">
      <c r="A180">
        <f t="shared" si="16"/>
        <v>7.208333333333333</v>
      </c>
      <c r="C180" s="263">
        <v>173</v>
      </c>
      <c r="D180" s="267">
        <f t="shared" si="21"/>
        <v>430465.87010914861</v>
      </c>
      <c r="E180" s="259">
        <f t="shared" si="20"/>
        <v>210</v>
      </c>
      <c r="F180" s="259">
        <f t="shared" si="20"/>
        <v>17.2</v>
      </c>
      <c r="G180" s="259">
        <f t="shared" si="20"/>
        <v>2.15</v>
      </c>
      <c r="K180">
        <f t="shared" si="22"/>
        <v>4</v>
      </c>
      <c r="L180">
        <f t="shared" si="23"/>
        <v>0.5</v>
      </c>
    </row>
    <row r="181" spans="1:12" x14ac:dyDescent="0.25">
      <c r="A181">
        <f t="shared" si="16"/>
        <v>7.25</v>
      </c>
      <c r="C181" s="263">
        <v>174</v>
      </c>
      <c r="D181" s="267">
        <f t="shared" si="21"/>
        <v>455582.4224151572</v>
      </c>
      <c r="E181" s="259">
        <f t="shared" si="20"/>
        <v>210</v>
      </c>
      <c r="F181" s="259">
        <f t="shared" si="20"/>
        <v>17.2</v>
      </c>
      <c r="G181" s="259">
        <f t="shared" si="20"/>
        <v>2.15</v>
      </c>
      <c r="K181">
        <f t="shared" si="22"/>
        <v>4</v>
      </c>
      <c r="L181">
        <f t="shared" si="23"/>
        <v>0.5</v>
      </c>
    </row>
    <row r="182" spans="1:12" x14ac:dyDescent="0.25">
      <c r="A182">
        <f t="shared" si="16"/>
        <v>7.291666666666667</v>
      </c>
      <c r="C182" s="263">
        <v>175</v>
      </c>
      <c r="D182" s="267">
        <f t="shared" si="21"/>
        <v>494324.86453545414</v>
      </c>
      <c r="E182" s="259">
        <f t="shared" si="20"/>
        <v>210</v>
      </c>
      <c r="F182" s="259">
        <f t="shared" si="20"/>
        <v>17.2</v>
      </c>
      <c r="G182" s="259">
        <f t="shared" si="20"/>
        <v>2.15</v>
      </c>
      <c r="K182">
        <f t="shared" si="22"/>
        <v>4</v>
      </c>
      <c r="L182">
        <f t="shared" si="23"/>
        <v>0.5</v>
      </c>
    </row>
    <row r="183" spans="1:12" x14ac:dyDescent="0.25">
      <c r="A183">
        <f t="shared" si="16"/>
        <v>7.333333333333333</v>
      </c>
      <c r="C183" s="263">
        <v>176</v>
      </c>
      <c r="D183" s="267">
        <f t="shared" si="21"/>
        <v>539670.8110253436</v>
      </c>
      <c r="E183" s="259">
        <f t="shared" si="20"/>
        <v>210</v>
      </c>
      <c r="F183" s="259">
        <f t="shared" si="20"/>
        <v>17.2</v>
      </c>
      <c r="G183" s="259">
        <f t="shared" si="20"/>
        <v>2.15</v>
      </c>
      <c r="K183">
        <f t="shared" si="22"/>
        <v>4</v>
      </c>
      <c r="L183">
        <f t="shared" si="23"/>
        <v>0.5</v>
      </c>
    </row>
    <row r="184" spans="1:12" x14ac:dyDescent="0.25">
      <c r="A184">
        <f t="shared" si="16"/>
        <v>7.375</v>
      </c>
      <c r="C184" s="263">
        <v>177</v>
      </c>
      <c r="D184" s="267">
        <f t="shared" si="21"/>
        <v>583354.19618573098</v>
      </c>
      <c r="E184" s="259">
        <f t="shared" si="20"/>
        <v>210</v>
      </c>
      <c r="F184" s="259">
        <f t="shared" si="20"/>
        <v>17.2</v>
      </c>
      <c r="G184" s="259">
        <f t="shared" si="20"/>
        <v>2.15</v>
      </c>
      <c r="K184">
        <f t="shared" si="22"/>
        <v>4</v>
      </c>
      <c r="L184">
        <f t="shared" si="23"/>
        <v>0.5</v>
      </c>
    </row>
    <row r="185" spans="1:12" x14ac:dyDescent="0.25">
      <c r="A185">
        <f t="shared" si="16"/>
        <v>7.416666666666667</v>
      </c>
      <c r="C185" s="263">
        <v>178</v>
      </c>
      <c r="D185" s="267">
        <f t="shared" si="21"/>
        <v>617815.4480644376</v>
      </c>
      <c r="E185" s="259">
        <f t="shared" si="20"/>
        <v>210</v>
      </c>
      <c r="F185" s="259">
        <f t="shared" si="20"/>
        <v>17.2</v>
      </c>
      <c r="G185" s="259">
        <f t="shared" si="20"/>
        <v>2.15</v>
      </c>
      <c r="K185">
        <f t="shared" si="22"/>
        <v>4</v>
      </c>
      <c r="L185">
        <f t="shared" si="23"/>
        <v>0.5</v>
      </c>
    </row>
    <row r="186" spans="1:12" x14ac:dyDescent="0.25">
      <c r="A186">
        <f t="shared" si="16"/>
        <v>7.458333333333333</v>
      </c>
      <c r="C186" s="263">
        <v>179</v>
      </c>
      <c r="D186" s="267">
        <f t="shared" si="21"/>
        <v>637944.5705070158</v>
      </c>
      <c r="E186" s="259">
        <f t="shared" si="20"/>
        <v>210</v>
      </c>
      <c r="F186" s="259">
        <f t="shared" si="20"/>
        <v>17.2</v>
      </c>
      <c r="G186" s="259">
        <f t="shared" si="20"/>
        <v>2.15</v>
      </c>
      <c r="K186">
        <f t="shared" si="22"/>
        <v>4</v>
      </c>
      <c r="L186">
        <f t="shared" si="23"/>
        <v>0.5</v>
      </c>
    </row>
    <row r="187" spans="1:12" x14ac:dyDescent="0.25">
      <c r="A187">
        <f t="shared" si="16"/>
        <v>7.5</v>
      </c>
      <c r="C187" s="263">
        <v>180</v>
      </c>
      <c r="D187" s="267">
        <f t="shared" si="21"/>
        <v>642169.32767935679</v>
      </c>
      <c r="E187" s="259">
        <f t="shared" si="20"/>
        <v>210</v>
      </c>
      <c r="F187" s="259">
        <f t="shared" si="20"/>
        <v>17.2</v>
      </c>
      <c r="G187" s="259">
        <f t="shared" si="20"/>
        <v>2.15</v>
      </c>
      <c r="K187">
        <f t="shared" si="22"/>
        <v>4</v>
      </c>
      <c r="L187">
        <f t="shared" si="23"/>
        <v>0.5</v>
      </c>
    </row>
    <row r="188" spans="1:12" x14ac:dyDescent="0.25">
      <c r="A188">
        <f t="shared" si="16"/>
        <v>7.541666666666667</v>
      </c>
      <c r="C188" s="263">
        <v>181</v>
      </c>
      <c r="D188" s="267">
        <f t="shared" si="21"/>
        <v>632616.10495660955</v>
      </c>
      <c r="E188" s="259">
        <f t="shared" si="20"/>
        <v>210</v>
      </c>
      <c r="F188" s="259">
        <f t="shared" si="20"/>
        <v>17.2</v>
      </c>
      <c r="G188" s="259">
        <f t="shared" si="20"/>
        <v>2.15</v>
      </c>
      <c r="K188">
        <f t="shared" si="22"/>
        <v>4</v>
      </c>
      <c r="L188">
        <f t="shared" si="23"/>
        <v>0.5</v>
      </c>
    </row>
    <row r="189" spans="1:12" x14ac:dyDescent="0.25">
      <c r="A189">
        <f t="shared" si="16"/>
        <v>7.583333333333333</v>
      </c>
      <c r="C189" s="263">
        <v>182</v>
      </c>
      <c r="D189" s="267">
        <f t="shared" si="21"/>
        <v>614318.09071899322</v>
      </c>
      <c r="E189" s="259">
        <f t="shared" si="20"/>
        <v>210</v>
      </c>
      <c r="F189" s="259">
        <f t="shared" si="20"/>
        <v>17.2</v>
      </c>
      <c r="G189" s="259">
        <f t="shared" si="20"/>
        <v>2.15</v>
      </c>
      <c r="K189">
        <f t="shared" si="22"/>
        <v>4</v>
      </c>
      <c r="L189">
        <f t="shared" si="23"/>
        <v>0.5</v>
      </c>
    </row>
    <row r="190" spans="1:12" x14ac:dyDescent="0.25">
      <c r="A190">
        <f t="shared" si="16"/>
        <v>7.625</v>
      </c>
      <c r="C190" s="263">
        <v>183</v>
      </c>
      <c r="D190" s="267">
        <f t="shared" si="21"/>
        <v>593698.07878143073</v>
      </c>
      <c r="E190" s="259">
        <f t="shared" si="20"/>
        <v>210</v>
      </c>
      <c r="F190" s="259">
        <f t="shared" si="20"/>
        <v>17.2</v>
      </c>
      <c r="G190" s="259">
        <f t="shared" si="20"/>
        <v>2.15</v>
      </c>
      <c r="K190">
        <f t="shared" si="22"/>
        <v>4</v>
      </c>
      <c r="L190">
        <f t="shared" si="23"/>
        <v>0.5</v>
      </c>
    </row>
    <row r="191" spans="1:12" x14ac:dyDescent="0.25">
      <c r="A191">
        <f t="shared" si="16"/>
        <v>7.666666666666667</v>
      </c>
      <c r="C191" s="263">
        <v>184</v>
      </c>
      <c r="D191" s="267">
        <f t="shared" si="21"/>
        <v>576743.91032499215</v>
      </c>
      <c r="E191" s="259">
        <f t="shared" si="20"/>
        <v>210</v>
      </c>
      <c r="F191" s="259">
        <f t="shared" si="20"/>
        <v>17.2</v>
      </c>
      <c r="G191" s="259">
        <f t="shared" si="20"/>
        <v>2.15</v>
      </c>
      <c r="K191">
        <f t="shared" si="22"/>
        <v>4</v>
      </c>
      <c r="L191">
        <f t="shared" si="23"/>
        <v>0.5</v>
      </c>
    </row>
    <row r="192" spans="1:12" x14ac:dyDescent="0.25">
      <c r="A192">
        <f t="shared" si="16"/>
        <v>7.708333333333333</v>
      </c>
      <c r="C192" s="263">
        <v>185</v>
      </c>
      <c r="D192" s="267">
        <f t="shared" si="21"/>
        <v>567372.50270072068</v>
      </c>
      <c r="E192" s="259">
        <f t="shared" si="20"/>
        <v>210</v>
      </c>
      <c r="F192" s="259">
        <f t="shared" si="20"/>
        <v>17.2</v>
      </c>
      <c r="G192" s="259">
        <f t="shared" si="20"/>
        <v>2.15</v>
      </c>
      <c r="K192">
        <f t="shared" si="22"/>
        <v>4</v>
      </c>
      <c r="L192">
        <f t="shared" si="23"/>
        <v>0.5</v>
      </c>
    </row>
    <row r="193" spans="1:14" x14ac:dyDescent="0.25">
      <c r="A193">
        <f t="shared" si="16"/>
        <v>7.75</v>
      </c>
      <c r="C193" s="263">
        <v>186</v>
      </c>
      <c r="D193" s="267">
        <f t="shared" si="21"/>
        <v>566422.97125582187</v>
      </c>
      <c r="E193" s="259">
        <f t="shared" si="20"/>
        <v>210</v>
      </c>
      <c r="F193" s="259">
        <f t="shared" si="20"/>
        <v>17.2</v>
      </c>
      <c r="G193" s="259">
        <f t="shared" si="20"/>
        <v>2.15</v>
      </c>
      <c r="K193">
        <f t="shared" si="22"/>
        <v>4</v>
      </c>
      <c r="L193">
        <f t="shared" si="23"/>
        <v>0.5</v>
      </c>
    </row>
    <row r="194" spans="1:14" x14ac:dyDescent="0.25">
      <c r="A194">
        <f t="shared" si="16"/>
        <v>7.791666666666667</v>
      </c>
      <c r="C194" s="263">
        <v>187</v>
      </c>
      <c r="D194" s="267">
        <f t="shared" si="21"/>
        <v>571545.7293943878</v>
      </c>
      <c r="E194" s="259">
        <f t="shared" si="20"/>
        <v>210</v>
      </c>
      <c r="F194" s="259">
        <f t="shared" si="20"/>
        <v>17.2</v>
      </c>
      <c r="G194" s="259">
        <f t="shared" si="20"/>
        <v>2.15</v>
      </c>
      <c r="K194">
        <f t="shared" si="22"/>
        <v>4</v>
      </c>
      <c r="L194">
        <f t="shared" si="23"/>
        <v>0.5</v>
      </c>
    </row>
    <row r="195" spans="1:14" x14ac:dyDescent="0.25">
      <c r="A195">
        <f t="shared" si="16"/>
        <v>7.833333333333333</v>
      </c>
      <c r="C195" s="263">
        <v>188</v>
      </c>
      <c r="D195" s="267">
        <f t="shared" si="21"/>
        <v>578009.51757592254</v>
      </c>
      <c r="E195" s="259">
        <f t="shared" si="20"/>
        <v>210</v>
      </c>
      <c r="F195" s="259">
        <f t="shared" si="20"/>
        <v>17.2</v>
      </c>
      <c r="G195" s="259">
        <f t="shared" si="20"/>
        <v>2.15</v>
      </c>
      <c r="K195">
        <f t="shared" si="22"/>
        <v>4</v>
      </c>
      <c r="L195">
        <f t="shared" si="23"/>
        <v>0.5</v>
      </c>
    </row>
    <row r="196" spans="1:14" x14ac:dyDescent="0.25">
      <c r="A196">
        <f t="shared" si="16"/>
        <v>7.875</v>
      </c>
      <c r="C196" s="263">
        <v>189</v>
      </c>
      <c r="D196" s="267">
        <f t="shared" si="21"/>
        <v>580198.02493424143</v>
      </c>
      <c r="E196" s="259">
        <f t="shared" si="20"/>
        <v>210</v>
      </c>
      <c r="F196" s="259">
        <f t="shared" si="20"/>
        <v>17.2</v>
      </c>
      <c r="G196" s="259">
        <f t="shared" si="20"/>
        <v>2.15</v>
      </c>
      <c r="K196">
        <f t="shared" si="22"/>
        <v>4</v>
      </c>
      <c r="L196">
        <f t="shared" si="23"/>
        <v>0.5</v>
      </c>
    </row>
    <row r="197" spans="1:14" x14ac:dyDescent="0.25">
      <c r="A197">
        <f t="shared" si="16"/>
        <v>7.916666666666667</v>
      </c>
      <c r="C197" s="263">
        <v>190</v>
      </c>
      <c r="D197" s="267">
        <f t="shared" si="21"/>
        <v>573379.486865849</v>
      </c>
      <c r="E197" s="259">
        <f t="shared" si="20"/>
        <v>210</v>
      </c>
      <c r="F197" s="259">
        <f t="shared" si="20"/>
        <v>17.2</v>
      </c>
      <c r="G197" s="259">
        <f t="shared" si="20"/>
        <v>2.15</v>
      </c>
      <c r="K197">
        <f t="shared" si="22"/>
        <v>4</v>
      </c>
      <c r="L197">
        <f t="shared" si="23"/>
        <v>0.5</v>
      </c>
    </row>
    <row r="198" spans="1:14" x14ac:dyDescent="0.25">
      <c r="A198">
        <f t="shared" si="16"/>
        <v>7.958333333333333</v>
      </c>
      <c r="C198" s="263">
        <v>191</v>
      </c>
      <c r="D198" s="267">
        <f t="shared" si="21"/>
        <v>555257.05668311415</v>
      </c>
      <c r="E198" s="259">
        <f t="shared" si="20"/>
        <v>210</v>
      </c>
      <c r="F198" s="259">
        <f t="shared" si="20"/>
        <v>17.2</v>
      </c>
      <c r="G198" s="259">
        <f t="shared" si="20"/>
        <v>2.15</v>
      </c>
      <c r="K198">
        <f t="shared" si="22"/>
        <v>4</v>
      </c>
      <c r="L198">
        <f t="shared" si="23"/>
        <v>0.5</v>
      </c>
    </row>
    <row r="199" spans="1:14" x14ac:dyDescent="0.25">
      <c r="A199">
        <f t="shared" si="16"/>
        <v>8</v>
      </c>
      <c r="C199" s="262">
        <v>192</v>
      </c>
      <c r="D199" s="266">
        <f>D7*K199</f>
        <v>263432.63932483224</v>
      </c>
      <c r="E199" s="258">
        <f t="shared" si="20"/>
        <v>336</v>
      </c>
      <c r="F199" s="258">
        <f t="shared" si="20"/>
        <v>27.52</v>
      </c>
      <c r="G199" s="258">
        <f t="shared" si="20"/>
        <v>3.44</v>
      </c>
      <c r="K199">
        <f>$T$15</f>
        <v>2</v>
      </c>
      <c r="L199">
        <f>$U$15</f>
        <v>0.8</v>
      </c>
      <c r="N199" t="s">
        <v>321</v>
      </c>
    </row>
    <row r="200" spans="1:14" x14ac:dyDescent="0.25">
      <c r="A200">
        <f t="shared" ref="A200:A263" si="24">C200/24</f>
        <v>8.0416666666666661</v>
      </c>
      <c r="C200" s="262">
        <v>193</v>
      </c>
      <c r="D200" s="266">
        <f t="shared" ref="D200:D263" si="25">D8*K200</f>
        <v>246276.65055677434</v>
      </c>
      <c r="E200" s="258">
        <f t="shared" si="20"/>
        <v>336</v>
      </c>
      <c r="F200" s="258">
        <f t="shared" si="20"/>
        <v>27.52</v>
      </c>
      <c r="G200" s="258">
        <f t="shared" si="20"/>
        <v>3.44</v>
      </c>
      <c r="K200">
        <f t="shared" ref="K200:K263" si="26">$T$15</f>
        <v>2</v>
      </c>
      <c r="L200">
        <f t="shared" ref="L200:L263" si="27">$U$15</f>
        <v>0.8</v>
      </c>
    </row>
    <row r="201" spans="1:14" x14ac:dyDescent="0.25">
      <c r="A201">
        <f t="shared" si="24"/>
        <v>8.0833333333333339</v>
      </c>
      <c r="C201" s="262">
        <v>194</v>
      </c>
      <c r="D201" s="266">
        <f t="shared" si="25"/>
        <v>229520.79033987047</v>
      </c>
      <c r="E201" s="258">
        <f t="shared" si="20"/>
        <v>336</v>
      </c>
      <c r="F201" s="258">
        <f t="shared" si="20"/>
        <v>27.52</v>
      </c>
      <c r="G201" s="258">
        <f t="shared" si="20"/>
        <v>3.44</v>
      </c>
      <c r="K201">
        <f t="shared" si="26"/>
        <v>2</v>
      </c>
      <c r="L201">
        <f t="shared" si="27"/>
        <v>0.8</v>
      </c>
    </row>
    <row r="202" spans="1:14" x14ac:dyDescent="0.25">
      <c r="A202">
        <f t="shared" si="24"/>
        <v>8.125</v>
      </c>
      <c r="C202" s="262">
        <v>195</v>
      </c>
      <c r="D202" s="266">
        <f t="shared" si="25"/>
        <v>216894.85004929831</v>
      </c>
      <c r="E202" s="258">
        <f t="shared" si="20"/>
        <v>336</v>
      </c>
      <c r="F202" s="258">
        <f t="shared" si="20"/>
        <v>27.52</v>
      </c>
      <c r="G202" s="258">
        <f t="shared" si="20"/>
        <v>3.44</v>
      </c>
      <c r="K202">
        <f t="shared" si="26"/>
        <v>2</v>
      </c>
      <c r="L202">
        <f t="shared" si="27"/>
        <v>0.8</v>
      </c>
    </row>
    <row r="203" spans="1:14" x14ac:dyDescent="0.25">
      <c r="A203">
        <f t="shared" si="24"/>
        <v>8.1666666666666661</v>
      </c>
      <c r="C203" s="262">
        <v>196</v>
      </c>
      <c r="D203" s="266">
        <f t="shared" si="25"/>
        <v>211550.57737236036</v>
      </c>
      <c r="E203" s="258">
        <f t="shared" si="20"/>
        <v>336</v>
      </c>
      <c r="F203" s="258">
        <f t="shared" si="20"/>
        <v>27.52</v>
      </c>
      <c r="G203" s="258">
        <f t="shared" si="20"/>
        <v>3.44</v>
      </c>
      <c r="K203">
        <f t="shared" si="26"/>
        <v>2</v>
      </c>
      <c r="L203">
        <f t="shared" si="27"/>
        <v>0.8</v>
      </c>
    </row>
    <row r="204" spans="1:14" x14ac:dyDescent="0.25">
      <c r="A204">
        <f t="shared" si="24"/>
        <v>8.2083333333333339</v>
      </c>
      <c r="C204" s="262">
        <v>197</v>
      </c>
      <c r="D204" s="266">
        <f t="shared" si="25"/>
        <v>215232.93505457431</v>
      </c>
      <c r="E204" s="258">
        <f t="shared" si="20"/>
        <v>336</v>
      </c>
      <c r="F204" s="258">
        <f t="shared" si="20"/>
        <v>27.52</v>
      </c>
      <c r="G204" s="258">
        <f t="shared" si="20"/>
        <v>3.44</v>
      </c>
      <c r="K204">
        <f t="shared" si="26"/>
        <v>2</v>
      </c>
      <c r="L204">
        <f t="shared" si="27"/>
        <v>0.8</v>
      </c>
    </row>
    <row r="205" spans="1:14" x14ac:dyDescent="0.25">
      <c r="A205">
        <f t="shared" si="24"/>
        <v>8.25</v>
      </c>
      <c r="C205" s="262">
        <v>198</v>
      </c>
      <c r="D205" s="266">
        <f t="shared" si="25"/>
        <v>227791.2112075786</v>
      </c>
      <c r="E205" s="258">
        <f t="shared" si="20"/>
        <v>336</v>
      </c>
      <c r="F205" s="258">
        <f t="shared" si="20"/>
        <v>27.52</v>
      </c>
      <c r="G205" s="258">
        <f t="shared" si="20"/>
        <v>3.44</v>
      </c>
      <c r="K205">
        <f t="shared" si="26"/>
        <v>2</v>
      </c>
      <c r="L205">
        <f t="shared" si="27"/>
        <v>0.8</v>
      </c>
    </row>
    <row r="206" spans="1:14" x14ac:dyDescent="0.25">
      <c r="A206">
        <f t="shared" si="24"/>
        <v>8.2916666666666661</v>
      </c>
      <c r="C206" s="262">
        <v>199</v>
      </c>
      <c r="D206" s="266">
        <f t="shared" si="25"/>
        <v>247162.43226772707</v>
      </c>
      <c r="E206" s="258">
        <f t="shared" si="20"/>
        <v>336</v>
      </c>
      <c r="F206" s="258">
        <f t="shared" si="20"/>
        <v>27.52</v>
      </c>
      <c r="G206" s="258">
        <f t="shared" si="20"/>
        <v>3.44</v>
      </c>
      <c r="K206">
        <f t="shared" si="26"/>
        <v>2</v>
      </c>
      <c r="L206">
        <f t="shared" si="27"/>
        <v>0.8</v>
      </c>
    </row>
    <row r="207" spans="1:14" x14ac:dyDescent="0.25">
      <c r="A207">
        <f t="shared" si="24"/>
        <v>8.3333333333333339</v>
      </c>
      <c r="C207" s="262">
        <v>200</v>
      </c>
      <c r="D207" s="266">
        <f t="shared" si="25"/>
        <v>269835.4055126718</v>
      </c>
      <c r="E207" s="258">
        <f t="shared" si="20"/>
        <v>336</v>
      </c>
      <c r="F207" s="258">
        <f t="shared" si="20"/>
        <v>27.52</v>
      </c>
      <c r="G207" s="258">
        <f t="shared" si="20"/>
        <v>3.44</v>
      </c>
      <c r="K207">
        <f t="shared" si="26"/>
        <v>2</v>
      </c>
      <c r="L207">
        <f t="shared" si="27"/>
        <v>0.8</v>
      </c>
    </row>
    <row r="208" spans="1:14" x14ac:dyDescent="0.25">
      <c r="A208">
        <f t="shared" si="24"/>
        <v>8.375</v>
      </c>
      <c r="C208" s="262">
        <v>201</v>
      </c>
      <c r="D208" s="266">
        <f t="shared" si="25"/>
        <v>291677.09809286549</v>
      </c>
      <c r="E208" s="258">
        <f t="shared" si="20"/>
        <v>336</v>
      </c>
      <c r="F208" s="258">
        <f t="shared" si="20"/>
        <v>27.52</v>
      </c>
      <c r="G208" s="258">
        <f t="shared" si="20"/>
        <v>3.44</v>
      </c>
      <c r="K208">
        <f t="shared" si="26"/>
        <v>2</v>
      </c>
      <c r="L208">
        <f t="shared" si="27"/>
        <v>0.8</v>
      </c>
    </row>
    <row r="209" spans="1:12" x14ac:dyDescent="0.25">
      <c r="A209">
        <f t="shared" si="24"/>
        <v>8.4166666666666661</v>
      </c>
      <c r="C209" s="262">
        <v>202</v>
      </c>
      <c r="D209" s="266">
        <f t="shared" si="25"/>
        <v>308907.7240322188</v>
      </c>
      <c r="E209" s="258">
        <f t="shared" si="20"/>
        <v>336</v>
      </c>
      <c r="F209" s="258">
        <f t="shared" si="20"/>
        <v>27.52</v>
      </c>
      <c r="G209" s="258">
        <f t="shared" si="20"/>
        <v>3.44</v>
      </c>
      <c r="K209">
        <f t="shared" si="26"/>
        <v>2</v>
      </c>
      <c r="L209">
        <f t="shared" si="27"/>
        <v>0.8</v>
      </c>
    </row>
    <row r="210" spans="1:12" x14ac:dyDescent="0.25">
      <c r="A210">
        <f t="shared" si="24"/>
        <v>8.4583333333333339</v>
      </c>
      <c r="C210" s="262">
        <v>203</v>
      </c>
      <c r="D210" s="266">
        <f t="shared" si="25"/>
        <v>318972.2852535079</v>
      </c>
      <c r="E210" s="258">
        <f t="shared" si="20"/>
        <v>336</v>
      </c>
      <c r="F210" s="258">
        <f t="shared" si="20"/>
        <v>27.52</v>
      </c>
      <c r="G210" s="258">
        <f t="shared" si="20"/>
        <v>3.44</v>
      </c>
      <c r="K210">
        <f t="shared" si="26"/>
        <v>2</v>
      </c>
      <c r="L210">
        <f t="shared" si="27"/>
        <v>0.8</v>
      </c>
    </row>
    <row r="211" spans="1:12" x14ac:dyDescent="0.25">
      <c r="A211">
        <f t="shared" si="24"/>
        <v>8.5</v>
      </c>
      <c r="C211" s="262">
        <v>204</v>
      </c>
      <c r="D211" s="266">
        <f t="shared" si="25"/>
        <v>321084.6638396784</v>
      </c>
      <c r="E211" s="258">
        <f t="shared" si="20"/>
        <v>336</v>
      </c>
      <c r="F211" s="258">
        <f t="shared" si="20"/>
        <v>27.52</v>
      </c>
      <c r="G211" s="258">
        <f t="shared" si="20"/>
        <v>3.44</v>
      </c>
      <c r="K211">
        <f t="shared" si="26"/>
        <v>2</v>
      </c>
      <c r="L211">
        <f t="shared" si="27"/>
        <v>0.8</v>
      </c>
    </row>
    <row r="212" spans="1:12" x14ac:dyDescent="0.25">
      <c r="A212">
        <f t="shared" si="24"/>
        <v>8.5416666666666661</v>
      </c>
      <c r="C212" s="262">
        <v>205</v>
      </c>
      <c r="D212" s="266">
        <f t="shared" si="25"/>
        <v>316308.05247830477</v>
      </c>
      <c r="E212" s="258">
        <f t="shared" si="20"/>
        <v>336</v>
      </c>
      <c r="F212" s="258">
        <f t="shared" si="20"/>
        <v>27.52</v>
      </c>
      <c r="G212" s="258">
        <f t="shared" si="20"/>
        <v>3.44</v>
      </c>
      <c r="K212">
        <f t="shared" si="26"/>
        <v>2</v>
      </c>
      <c r="L212">
        <f t="shared" si="27"/>
        <v>0.8</v>
      </c>
    </row>
    <row r="213" spans="1:12" x14ac:dyDescent="0.25">
      <c r="A213">
        <f t="shared" si="24"/>
        <v>8.5833333333333339</v>
      </c>
      <c r="C213" s="262">
        <v>206</v>
      </c>
      <c r="D213" s="266">
        <f t="shared" si="25"/>
        <v>307159.04535949661</v>
      </c>
      <c r="E213" s="258">
        <f t="shared" si="20"/>
        <v>336</v>
      </c>
      <c r="F213" s="258">
        <f t="shared" si="20"/>
        <v>27.52</v>
      </c>
      <c r="G213" s="258">
        <f t="shared" si="20"/>
        <v>3.44</v>
      </c>
      <c r="K213">
        <f t="shared" si="26"/>
        <v>2</v>
      </c>
      <c r="L213">
        <f t="shared" si="27"/>
        <v>0.8</v>
      </c>
    </row>
    <row r="214" spans="1:12" x14ac:dyDescent="0.25">
      <c r="A214">
        <f t="shared" si="24"/>
        <v>8.625</v>
      </c>
      <c r="C214" s="262">
        <v>207</v>
      </c>
      <c r="D214" s="266">
        <f t="shared" si="25"/>
        <v>296849.03939071536</v>
      </c>
      <c r="E214" s="258">
        <f t="shared" si="20"/>
        <v>336</v>
      </c>
      <c r="F214" s="258">
        <f t="shared" si="20"/>
        <v>27.52</v>
      </c>
      <c r="G214" s="258">
        <f t="shared" si="20"/>
        <v>3.44</v>
      </c>
      <c r="K214">
        <f t="shared" si="26"/>
        <v>2</v>
      </c>
      <c r="L214">
        <f t="shared" si="27"/>
        <v>0.8</v>
      </c>
    </row>
    <row r="215" spans="1:12" x14ac:dyDescent="0.25">
      <c r="A215">
        <f t="shared" si="24"/>
        <v>8.6666666666666661</v>
      </c>
      <c r="C215" s="262">
        <v>208</v>
      </c>
      <c r="D215" s="266">
        <f t="shared" si="25"/>
        <v>288371.95516249607</v>
      </c>
      <c r="E215" s="258">
        <f t="shared" si="20"/>
        <v>336</v>
      </c>
      <c r="F215" s="258">
        <f t="shared" si="20"/>
        <v>27.52</v>
      </c>
      <c r="G215" s="258">
        <f t="shared" si="20"/>
        <v>3.44</v>
      </c>
      <c r="K215">
        <f t="shared" si="26"/>
        <v>2</v>
      </c>
      <c r="L215">
        <f t="shared" si="27"/>
        <v>0.8</v>
      </c>
    </row>
    <row r="216" spans="1:12" x14ac:dyDescent="0.25">
      <c r="A216">
        <f t="shared" si="24"/>
        <v>8.7083333333333339</v>
      </c>
      <c r="C216" s="262">
        <v>209</v>
      </c>
      <c r="D216" s="266">
        <f t="shared" si="25"/>
        <v>283686.25135036034</v>
      </c>
      <c r="E216" s="258">
        <f t="shared" si="20"/>
        <v>336</v>
      </c>
      <c r="F216" s="258">
        <f t="shared" si="20"/>
        <v>27.52</v>
      </c>
      <c r="G216" s="258">
        <f t="shared" si="20"/>
        <v>3.44</v>
      </c>
      <c r="K216">
        <f t="shared" si="26"/>
        <v>2</v>
      </c>
      <c r="L216">
        <f t="shared" si="27"/>
        <v>0.8</v>
      </c>
    </row>
    <row r="217" spans="1:12" x14ac:dyDescent="0.25">
      <c r="A217">
        <f t="shared" si="24"/>
        <v>8.75</v>
      </c>
      <c r="C217" s="262">
        <v>210</v>
      </c>
      <c r="D217" s="266">
        <f t="shared" si="25"/>
        <v>283211.48562791094</v>
      </c>
      <c r="E217" s="258">
        <f t="shared" si="20"/>
        <v>336</v>
      </c>
      <c r="F217" s="258">
        <f t="shared" si="20"/>
        <v>27.52</v>
      </c>
      <c r="G217" s="258">
        <f t="shared" si="20"/>
        <v>3.44</v>
      </c>
      <c r="K217">
        <f t="shared" si="26"/>
        <v>2</v>
      </c>
      <c r="L217">
        <f t="shared" si="27"/>
        <v>0.8</v>
      </c>
    </row>
    <row r="218" spans="1:12" x14ac:dyDescent="0.25">
      <c r="A218">
        <f t="shared" si="24"/>
        <v>8.7916666666666661</v>
      </c>
      <c r="C218" s="262">
        <v>211</v>
      </c>
      <c r="D218" s="266">
        <f t="shared" si="25"/>
        <v>285772.8646971939</v>
      </c>
      <c r="E218" s="258">
        <f t="shared" si="20"/>
        <v>336</v>
      </c>
      <c r="F218" s="258">
        <f t="shared" si="20"/>
        <v>27.52</v>
      </c>
      <c r="G218" s="258">
        <f t="shared" si="20"/>
        <v>3.44</v>
      </c>
      <c r="K218">
        <f t="shared" si="26"/>
        <v>2</v>
      </c>
      <c r="L218">
        <f t="shared" si="27"/>
        <v>0.8</v>
      </c>
    </row>
    <row r="219" spans="1:12" x14ac:dyDescent="0.25">
      <c r="A219">
        <f t="shared" si="24"/>
        <v>8.8333333333333339</v>
      </c>
      <c r="C219" s="262">
        <v>212</v>
      </c>
      <c r="D219" s="266">
        <f t="shared" si="25"/>
        <v>289004.75878796127</v>
      </c>
      <c r="E219" s="258">
        <f t="shared" si="20"/>
        <v>336</v>
      </c>
      <c r="F219" s="258">
        <f t="shared" si="20"/>
        <v>27.52</v>
      </c>
      <c r="G219" s="258">
        <f t="shared" si="20"/>
        <v>3.44</v>
      </c>
      <c r="K219">
        <f t="shared" si="26"/>
        <v>2</v>
      </c>
      <c r="L219">
        <f t="shared" si="27"/>
        <v>0.8</v>
      </c>
    </row>
    <row r="220" spans="1:12" x14ac:dyDescent="0.25">
      <c r="A220">
        <f t="shared" si="24"/>
        <v>8.875</v>
      </c>
      <c r="C220" s="262">
        <v>213</v>
      </c>
      <c r="D220" s="266">
        <f t="shared" si="25"/>
        <v>290099.01246712072</v>
      </c>
      <c r="E220" s="258">
        <f t="shared" si="20"/>
        <v>336</v>
      </c>
      <c r="F220" s="258">
        <f t="shared" si="20"/>
        <v>27.52</v>
      </c>
      <c r="G220" s="258">
        <f t="shared" si="20"/>
        <v>3.44</v>
      </c>
      <c r="K220">
        <f t="shared" si="26"/>
        <v>2</v>
      </c>
      <c r="L220">
        <f t="shared" si="27"/>
        <v>0.8</v>
      </c>
    </row>
    <row r="221" spans="1:12" x14ac:dyDescent="0.25">
      <c r="A221">
        <f t="shared" si="24"/>
        <v>8.9166666666666661</v>
      </c>
      <c r="C221" s="262">
        <v>214</v>
      </c>
      <c r="D221" s="266">
        <f t="shared" si="25"/>
        <v>286689.7434329245</v>
      </c>
      <c r="E221" s="258">
        <f t="shared" si="20"/>
        <v>336</v>
      </c>
      <c r="F221" s="258">
        <f t="shared" si="20"/>
        <v>27.52</v>
      </c>
      <c r="G221" s="258">
        <f t="shared" si="20"/>
        <v>3.44</v>
      </c>
      <c r="K221">
        <f t="shared" si="26"/>
        <v>2</v>
      </c>
      <c r="L221">
        <f t="shared" si="27"/>
        <v>0.8</v>
      </c>
    </row>
    <row r="222" spans="1:12" x14ac:dyDescent="0.25">
      <c r="A222">
        <f t="shared" si="24"/>
        <v>8.9583333333333339</v>
      </c>
      <c r="C222" s="262">
        <v>215</v>
      </c>
      <c r="D222" s="266">
        <f t="shared" si="25"/>
        <v>277628.52834155707</v>
      </c>
      <c r="E222" s="258">
        <f t="shared" si="20"/>
        <v>336</v>
      </c>
      <c r="F222" s="258">
        <f t="shared" si="20"/>
        <v>27.52</v>
      </c>
      <c r="G222" s="258">
        <f t="shared" si="20"/>
        <v>3.44</v>
      </c>
      <c r="K222">
        <f t="shared" si="26"/>
        <v>2</v>
      </c>
      <c r="L222">
        <f t="shared" si="27"/>
        <v>0.8</v>
      </c>
    </row>
    <row r="223" spans="1:12" x14ac:dyDescent="0.25">
      <c r="A223">
        <f t="shared" si="24"/>
        <v>9</v>
      </c>
      <c r="C223" s="262">
        <v>216</v>
      </c>
      <c r="D223" s="266">
        <f t="shared" si="25"/>
        <v>263432.63932483224</v>
      </c>
      <c r="E223" s="258">
        <f t="shared" si="20"/>
        <v>336</v>
      </c>
      <c r="F223" s="258">
        <f t="shared" si="20"/>
        <v>27.52</v>
      </c>
      <c r="G223" s="258">
        <f t="shared" si="20"/>
        <v>3.44</v>
      </c>
      <c r="K223">
        <f t="shared" si="26"/>
        <v>2</v>
      </c>
      <c r="L223">
        <f t="shared" si="27"/>
        <v>0.8</v>
      </c>
    </row>
    <row r="224" spans="1:12" x14ac:dyDescent="0.25">
      <c r="A224">
        <f t="shared" si="24"/>
        <v>9.0416666666666661</v>
      </c>
      <c r="C224" s="262">
        <v>217</v>
      </c>
      <c r="D224" s="266">
        <f t="shared" si="25"/>
        <v>246276.65055677434</v>
      </c>
      <c r="E224" s="258">
        <f t="shared" si="20"/>
        <v>336</v>
      </c>
      <c r="F224" s="258">
        <f t="shared" si="20"/>
        <v>27.52</v>
      </c>
      <c r="G224" s="258">
        <f t="shared" si="20"/>
        <v>3.44</v>
      </c>
      <c r="K224">
        <f t="shared" si="26"/>
        <v>2</v>
      </c>
      <c r="L224">
        <f t="shared" si="27"/>
        <v>0.8</v>
      </c>
    </row>
    <row r="225" spans="1:12" x14ac:dyDescent="0.25">
      <c r="A225">
        <f t="shared" si="24"/>
        <v>9.0833333333333339</v>
      </c>
      <c r="C225" s="262">
        <v>218</v>
      </c>
      <c r="D225" s="266">
        <f t="shared" si="25"/>
        <v>229520.79033987047</v>
      </c>
      <c r="E225" s="258">
        <f t="shared" si="20"/>
        <v>336</v>
      </c>
      <c r="F225" s="258">
        <f t="shared" si="20"/>
        <v>27.52</v>
      </c>
      <c r="G225" s="258">
        <f t="shared" si="20"/>
        <v>3.44</v>
      </c>
      <c r="K225">
        <f t="shared" si="26"/>
        <v>2</v>
      </c>
      <c r="L225">
        <f t="shared" si="27"/>
        <v>0.8</v>
      </c>
    </row>
    <row r="226" spans="1:12" x14ac:dyDescent="0.25">
      <c r="A226">
        <f t="shared" si="24"/>
        <v>9.125</v>
      </c>
      <c r="C226" s="262">
        <v>219</v>
      </c>
      <c r="D226" s="266">
        <f t="shared" si="25"/>
        <v>216894.85004929831</v>
      </c>
      <c r="E226" s="258">
        <f t="shared" si="20"/>
        <v>336</v>
      </c>
      <c r="F226" s="258">
        <f t="shared" si="20"/>
        <v>27.52</v>
      </c>
      <c r="G226" s="258">
        <f t="shared" si="20"/>
        <v>3.44</v>
      </c>
      <c r="K226">
        <f t="shared" si="26"/>
        <v>2</v>
      </c>
      <c r="L226">
        <f t="shared" si="27"/>
        <v>0.8</v>
      </c>
    </row>
    <row r="227" spans="1:12" x14ac:dyDescent="0.25">
      <c r="A227">
        <f t="shared" si="24"/>
        <v>9.1666666666666661</v>
      </c>
      <c r="C227" s="262">
        <v>220</v>
      </c>
      <c r="D227" s="266">
        <f t="shared" si="25"/>
        <v>211550.57737236036</v>
      </c>
      <c r="E227" s="258">
        <f t="shared" si="20"/>
        <v>336</v>
      </c>
      <c r="F227" s="258">
        <f t="shared" si="20"/>
        <v>27.52</v>
      </c>
      <c r="G227" s="258">
        <f t="shared" si="20"/>
        <v>3.44</v>
      </c>
      <c r="K227">
        <f t="shared" si="26"/>
        <v>2</v>
      </c>
      <c r="L227">
        <f t="shared" si="27"/>
        <v>0.8</v>
      </c>
    </row>
    <row r="228" spans="1:12" x14ac:dyDescent="0.25">
      <c r="A228">
        <f t="shared" si="24"/>
        <v>9.2083333333333339</v>
      </c>
      <c r="C228" s="262">
        <v>221</v>
      </c>
      <c r="D228" s="266">
        <f t="shared" si="25"/>
        <v>215232.93505457431</v>
      </c>
      <c r="E228" s="258">
        <f t="shared" si="20"/>
        <v>336</v>
      </c>
      <c r="F228" s="258">
        <f t="shared" si="20"/>
        <v>27.52</v>
      </c>
      <c r="G228" s="258">
        <f t="shared" si="20"/>
        <v>3.44</v>
      </c>
      <c r="K228">
        <f t="shared" si="26"/>
        <v>2</v>
      </c>
      <c r="L228">
        <f t="shared" si="27"/>
        <v>0.8</v>
      </c>
    </row>
    <row r="229" spans="1:12" x14ac:dyDescent="0.25">
      <c r="A229">
        <f t="shared" si="24"/>
        <v>9.25</v>
      </c>
      <c r="C229" s="262">
        <v>222</v>
      </c>
      <c r="D229" s="266">
        <f t="shared" si="25"/>
        <v>227791.2112075786</v>
      </c>
      <c r="E229" s="258">
        <f t="shared" si="20"/>
        <v>336</v>
      </c>
      <c r="F229" s="258">
        <f t="shared" si="20"/>
        <v>27.52</v>
      </c>
      <c r="G229" s="258">
        <f t="shared" si="20"/>
        <v>3.44</v>
      </c>
      <c r="K229">
        <f t="shared" si="26"/>
        <v>2</v>
      </c>
      <c r="L229">
        <f t="shared" si="27"/>
        <v>0.8</v>
      </c>
    </row>
    <row r="230" spans="1:12" x14ac:dyDescent="0.25">
      <c r="A230">
        <f t="shared" si="24"/>
        <v>9.2916666666666661</v>
      </c>
      <c r="C230" s="262">
        <v>223</v>
      </c>
      <c r="D230" s="266">
        <f t="shared" si="25"/>
        <v>247162.43226772707</v>
      </c>
      <c r="E230" s="258">
        <f t="shared" si="20"/>
        <v>336</v>
      </c>
      <c r="F230" s="258">
        <f t="shared" si="20"/>
        <v>27.52</v>
      </c>
      <c r="G230" s="258">
        <f t="shared" si="20"/>
        <v>3.44</v>
      </c>
      <c r="K230">
        <f t="shared" si="26"/>
        <v>2</v>
      </c>
      <c r="L230">
        <f t="shared" si="27"/>
        <v>0.8</v>
      </c>
    </row>
    <row r="231" spans="1:12" x14ac:dyDescent="0.25">
      <c r="A231">
        <f t="shared" si="24"/>
        <v>9.3333333333333339</v>
      </c>
      <c r="C231" s="262">
        <v>224</v>
      </c>
      <c r="D231" s="266">
        <f t="shared" si="25"/>
        <v>269835.4055126718</v>
      </c>
      <c r="E231" s="258">
        <f t="shared" si="20"/>
        <v>336</v>
      </c>
      <c r="F231" s="258">
        <f t="shared" si="20"/>
        <v>27.52</v>
      </c>
      <c r="G231" s="258">
        <f t="shared" si="20"/>
        <v>3.44</v>
      </c>
      <c r="K231">
        <f t="shared" si="26"/>
        <v>2</v>
      </c>
      <c r="L231">
        <f t="shared" si="27"/>
        <v>0.8</v>
      </c>
    </row>
    <row r="232" spans="1:12" x14ac:dyDescent="0.25">
      <c r="A232">
        <f t="shared" si="24"/>
        <v>9.375</v>
      </c>
      <c r="C232" s="262">
        <v>225</v>
      </c>
      <c r="D232" s="266">
        <f t="shared" si="25"/>
        <v>291677.09809286549</v>
      </c>
      <c r="E232" s="258">
        <f t="shared" ref="E232:G295" si="28">E$3*$L232</f>
        <v>336</v>
      </c>
      <c r="F232" s="258">
        <f t="shared" si="28"/>
        <v>27.52</v>
      </c>
      <c r="G232" s="258">
        <f t="shared" si="28"/>
        <v>3.44</v>
      </c>
      <c r="K232">
        <f t="shared" si="26"/>
        <v>2</v>
      </c>
      <c r="L232">
        <f t="shared" si="27"/>
        <v>0.8</v>
      </c>
    </row>
    <row r="233" spans="1:12" x14ac:dyDescent="0.25">
      <c r="A233">
        <f t="shared" si="24"/>
        <v>9.4166666666666661</v>
      </c>
      <c r="C233" s="262">
        <v>226</v>
      </c>
      <c r="D233" s="266">
        <f t="shared" si="25"/>
        <v>308907.7240322188</v>
      </c>
      <c r="E233" s="258">
        <f t="shared" si="28"/>
        <v>336</v>
      </c>
      <c r="F233" s="258">
        <f t="shared" si="28"/>
        <v>27.52</v>
      </c>
      <c r="G233" s="258">
        <f t="shared" si="28"/>
        <v>3.44</v>
      </c>
      <c r="K233">
        <f t="shared" si="26"/>
        <v>2</v>
      </c>
      <c r="L233">
        <f t="shared" si="27"/>
        <v>0.8</v>
      </c>
    </row>
    <row r="234" spans="1:12" x14ac:dyDescent="0.25">
      <c r="A234">
        <f t="shared" si="24"/>
        <v>9.4583333333333339</v>
      </c>
      <c r="C234" s="262">
        <v>227</v>
      </c>
      <c r="D234" s="266">
        <f t="shared" si="25"/>
        <v>318972.2852535079</v>
      </c>
      <c r="E234" s="258">
        <f t="shared" si="28"/>
        <v>336</v>
      </c>
      <c r="F234" s="258">
        <f t="shared" si="28"/>
        <v>27.52</v>
      </c>
      <c r="G234" s="258">
        <f t="shared" si="28"/>
        <v>3.44</v>
      </c>
      <c r="K234">
        <f t="shared" si="26"/>
        <v>2</v>
      </c>
      <c r="L234">
        <f t="shared" si="27"/>
        <v>0.8</v>
      </c>
    </row>
    <row r="235" spans="1:12" x14ac:dyDescent="0.25">
      <c r="A235">
        <f t="shared" si="24"/>
        <v>9.5</v>
      </c>
      <c r="C235" s="262">
        <v>228</v>
      </c>
      <c r="D235" s="266">
        <f t="shared" si="25"/>
        <v>321084.6638396784</v>
      </c>
      <c r="E235" s="258">
        <f t="shared" si="28"/>
        <v>336</v>
      </c>
      <c r="F235" s="258">
        <f t="shared" si="28"/>
        <v>27.52</v>
      </c>
      <c r="G235" s="258">
        <f t="shared" si="28"/>
        <v>3.44</v>
      </c>
      <c r="K235">
        <f t="shared" si="26"/>
        <v>2</v>
      </c>
      <c r="L235">
        <f t="shared" si="27"/>
        <v>0.8</v>
      </c>
    </row>
    <row r="236" spans="1:12" x14ac:dyDescent="0.25">
      <c r="A236">
        <f t="shared" si="24"/>
        <v>9.5416666666666661</v>
      </c>
      <c r="C236" s="262">
        <v>229</v>
      </c>
      <c r="D236" s="266">
        <f t="shared" si="25"/>
        <v>316308.05247830477</v>
      </c>
      <c r="E236" s="258">
        <f t="shared" si="28"/>
        <v>336</v>
      </c>
      <c r="F236" s="258">
        <f t="shared" si="28"/>
        <v>27.52</v>
      </c>
      <c r="G236" s="258">
        <f t="shared" si="28"/>
        <v>3.44</v>
      </c>
      <c r="K236">
        <f t="shared" si="26"/>
        <v>2</v>
      </c>
      <c r="L236">
        <f t="shared" si="27"/>
        <v>0.8</v>
      </c>
    </row>
    <row r="237" spans="1:12" x14ac:dyDescent="0.25">
      <c r="A237">
        <f t="shared" si="24"/>
        <v>9.5833333333333339</v>
      </c>
      <c r="C237" s="262">
        <v>230</v>
      </c>
      <c r="D237" s="266">
        <f t="shared" si="25"/>
        <v>307159.04535949661</v>
      </c>
      <c r="E237" s="258">
        <f t="shared" si="28"/>
        <v>336</v>
      </c>
      <c r="F237" s="258">
        <f t="shared" si="28"/>
        <v>27.52</v>
      </c>
      <c r="G237" s="258">
        <f t="shared" si="28"/>
        <v>3.44</v>
      </c>
      <c r="K237">
        <f t="shared" si="26"/>
        <v>2</v>
      </c>
      <c r="L237">
        <f t="shared" si="27"/>
        <v>0.8</v>
      </c>
    </row>
    <row r="238" spans="1:12" x14ac:dyDescent="0.25">
      <c r="A238">
        <f t="shared" si="24"/>
        <v>9.625</v>
      </c>
      <c r="C238" s="262">
        <v>231</v>
      </c>
      <c r="D238" s="266">
        <f t="shared" si="25"/>
        <v>296849.03939071536</v>
      </c>
      <c r="E238" s="258">
        <f t="shared" si="28"/>
        <v>336</v>
      </c>
      <c r="F238" s="258">
        <f t="shared" si="28"/>
        <v>27.52</v>
      </c>
      <c r="G238" s="258">
        <f t="shared" si="28"/>
        <v>3.44</v>
      </c>
      <c r="K238">
        <f t="shared" si="26"/>
        <v>2</v>
      </c>
      <c r="L238">
        <f t="shared" si="27"/>
        <v>0.8</v>
      </c>
    </row>
    <row r="239" spans="1:12" x14ac:dyDescent="0.25">
      <c r="A239">
        <f t="shared" si="24"/>
        <v>9.6666666666666661</v>
      </c>
      <c r="C239" s="262">
        <v>232</v>
      </c>
      <c r="D239" s="266">
        <f t="shared" si="25"/>
        <v>288371.95516249607</v>
      </c>
      <c r="E239" s="258">
        <f t="shared" si="28"/>
        <v>336</v>
      </c>
      <c r="F239" s="258">
        <f t="shared" si="28"/>
        <v>27.52</v>
      </c>
      <c r="G239" s="258">
        <f t="shared" si="28"/>
        <v>3.44</v>
      </c>
      <c r="K239">
        <f t="shared" si="26"/>
        <v>2</v>
      </c>
      <c r="L239">
        <f t="shared" si="27"/>
        <v>0.8</v>
      </c>
    </row>
    <row r="240" spans="1:12" x14ac:dyDescent="0.25">
      <c r="A240">
        <f t="shared" si="24"/>
        <v>9.7083333333333339</v>
      </c>
      <c r="C240" s="262">
        <v>233</v>
      </c>
      <c r="D240" s="266">
        <f t="shared" si="25"/>
        <v>283686.25135036034</v>
      </c>
      <c r="E240" s="258">
        <f t="shared" si="28"/>
        <v>336</v>
      </c>
      <c r="F240" s="258">
        <f t="shared" si="28"/>
        <v>27.52</v>
      </c>
      <c r="G240" s="258">
        <f t="shared" si="28"/>
        <v>3.44</v>
      </c>
      <c r="K240">
        <f t="shared" si="26"/>
        <v>2</v>
      </c>
      <c r="L240">
        <f t="shared" si="27"/>
        <v>0.8</v>
      </c>
    </row>
    <row r="241" spans="1:12" x14ac:dyDescent="0.25">
      <c r="A241">
        <f t="shared" si="24"/>
        <v>9.75</v>
      </c>
      <c r="C241" s="262">
        <v>234</v>
      </c>
      <c r="D241" s="266">
        <f t="shared" si="25"/>
        <v>283211.48562791094</v>
      </c>
      <c r="E241" s="258">
        <f t="shared" si="28"/>
        <v>336</v>
      </c>
      <c r="F241" s="258">
        <f t="shared" si="28"/>
        <v>27.52</v>
      </c>
      <c r="G241" s="258">
        <f t="shared" si="28"/>
        <v>3.44</v>
      </c>
      <c r="K241">
        <f t="shared" si="26"/>
        <v>2</v>
      </c>
      <c r="L241">
        <f t="shared" si="27"/>
        <v>0.8</v>
      </c>
    </row>
    <row r="242" spans="1:12" x14ac:dyDescent="0.25">
      <c r="A242">
        <f t="shared" si="24"/>
        <v>9.7916666666666661</v>
      </c>
      <c r="C242" s="262">
        <v>235</v>
      </c>
      <c r="D242" s="266">
        <f t="shared" si="25"/>
        <v>285772.8646971939</v>
      </c>
      <c r="E242" s="258">
        <f t="shared" si="28"/>
        <v>336</v>
      </c>
      <c r="F242" s="258">
        <f t="shared" si="28"/>
        <v>27.52</v>
      </c>
      <c r="G242" s="258">
        <f t="shared" si="28"/>
        <v>3.44</v>
      </c>
      <c r="K242">
        <f t="shared" si="26"/>
        <v>2</v>
      </c>
      <c r="L242">
        <f t="shared" si="27"/>
        <v>0.8</v>
      </c>
    </row>
    <row r="243" spans="1:12" x14ac:dyDescent="0.25">
      <c r="A243">
        <f t="shared" si="24"/>
        <v>9.8333333333333339</v>
      </c>
      <c r="C243" s="262">
        <v>236</v>
      </c>
      <c r="D243" s="266">
        <f t="shared" si="25"/>
        <v>289004.75878796127</v>
      </c>
      <c r="E243" s="258">
        <f t="shared" si="28"/>
        <v>336</v>
      </c>
      <c r="F243" s="258">
        <f t="shared" si="28"/>
        <v>27.52</v>
      </c>
      <c r="G243" s="258">
        <f t="shared" si="28"/>
        <v>3.44</v>
      </c>
      <c r="K243">
        <f t="shared" si="26"/>
        <v>2</v>
      </c>
      <c r="L243">
        <f t="shared" si="27"/>
        <v>0.8</v>
      </c>
    </row>
    <row r="244" spans="1:12" x14ac:dyDescent="0.25">
      <c r="A244">
        <f t="shared" si="24"/>
        <v>9.875</v>
      </c>
      <c r="C244" s="262">
        <v>237</v>
      </c>
      <c r="D244" s="266">
        <f t="shared" si="25"/>
        <v>290099.01246712072</v>
      </c>
      <c r="E244" s="258">
        <f t="shared" si="28"/>
        <v>336</v>
      </c>
      <c r="F244" s="258">
        <f t="shared" si="28"/>
        <v>27.52</v>
      </c>
      <c r="G244" s="258">
        <f t="shared" si="28"/>
        <v>3.44</v>
      </c>
      <c r="K244">
        <f t="shared" si="26"/>
        <v>2</v>
      </c>
      <c r="L244">
        <f t="shared" si="27"/>
        <v>0.8</v>
      </c>
    </row>
    <row r="245" spans="1:12" x14ac:dyDescent="0.25">
      <c r="A245">
        <f t="shared" si="24"/>
        <v>9.9166666666666661</v>
      </c>
      <c r="C245" s="262">
        <v>238</v>
      </c>
      <c r="D245" s="266">
        <f t="shared" si="25"/>
        <v>286689.7434329245</v>
      </c>
      <c r="E245" s="258">
        <f t="shared" si="28"/>
        <v>336</v>
      </c>
      <c r="F245" s="258">
        <f t="shared" si="28"/>
        <v>27.52</v>
      </c>
      <c r="G245" s="258">
        <f t="shared" si="28"/>
        <v>3.44</v>
      </c>
      <c r="K245">
        <f t="shared" si="26"/>
        <v>2</v>
      </c>
      <c r="L245">
        <f t="shared" si="27"/>
        <v>0.8</v>
      </c>
    </row>
    <row r="246" spans="1:12" x14ac:dyDescent="0.25">
      <c r="A246">
        <f t="shared" si="24"/>
        <v>9.9583333333333339</v>
      </c>
      <c r="C246" s="262">
        <v>239</v>
      </c>
      <c r="D246" s="266">
        <f t="shared" si="25"/>
        <v>277628.52834155707</v>
      </c>
      <c r="E246" s="258">
        <f t="shared" si="28"/>
        <v>336</v>
      </c>
      <c r="F246" s="258">
        <f t="shared" si="28"/>
        <v>27.52</v>
      </c>
      <c r="G246" s="258">
        <f t="shared" si="28"/>
        <v>3.44</v>
      </c>
      <c r="K246">
        <f t="shared" si="26"/>
        <v>2</v>
      </c>
      <c r="L246">
        <f t="shared" si="27"/>
        <v>0.8</v>
      </c>
    </row>
    <row r="247" spans="1:12" x14ac:dyDescent="0.25">
      <c r="A247">
        <f t="shared" si="24"/>
        <v>10</v>
      </c>
      <c r="C247" s="262">
        <v>240</v>
      </c>
      <c r="D247" s="266">
        <f t="shared" si="25"/>
        <v>263432.63932483224</v>
      </c>
      <c r="E247" s="258">
        <f t="shared" si="28"/>
        <v>336</v>
      </c>
      <c r="F247" s="258">
        <f t="shared" si="28"/>
        <v>27.52</v>
      </c>
      <c r="G247" s="258">
        <f t="shared" si="28"/>
        <v>3.44</v>
      </c>
      <c r="K247">
        <f t="shared" si="26"/>
        <v>2</v>
      </c>
      <c r="L247">
        <f t="shared" si="27"/>
        <v>0.8</v>
      </c>
    </row>
    <row r="248" spans="1:12" x14ac:dyDescent="0.25">
      <c r="A248">
        <f t="shared" si="24"/>
        <v>10.041666666666666</v>
      </c>
      <c r="C248" s="262">
        <v>241</v>
      </c>
      <c r="D248" s="266">
        <f t="shared" si="25"/>
        <v>246276.65055677434</v>
      </c>
      <c r="E248" s="258">
        <f t="shared" si="28"/>
        <v>336</v>
      </c>
      <c r="F248" s="258">
        <f t="shared" si="28"/>
        <v>27.52</v>
      </c>
      <c r="G248" s="258">
        <f t="shared" si="28"/>
        <v>3.44</v>
      </c>
      <c r="K248">
        <f t="shared" si="26"/>
        <v>2</v>
      </c>
      <c r="L248">
        <f t="shared" si="27"/>
        <v>0.8</v>
      </c>
    </row>
    <row r="249" spans="1:12" x14ac:dyDescent="0.25">
      <c r="A249">
        <f t="shared" si="24"/>
        <v>10.083333333333334</v>
      </c>
      <c r="C249" s="262">
        <v>242</v>
      </c>
      <c r="D249" s="266">
        <f t="shared" si="25"/>
        <v>229520.79033987047</v>
      </c>
      <c r="E249" s="258">
        <f t="shared" si="28"/>
        <v>336</v>
      </c>
      <c r="F249" s="258">
        <f t="shared" si="28"/>
        <v>27.52</v>
      </c>
      <c r="G249" s="258">
        <f t="shared" si="28"/>
        <v>3.44</v>
      </c>
      <c r="K249">
        <f t="shared" si="26"/>
        <v>2</v>
      </c>
      <c r="L249">
        <f t="shared" si="27"/>
        <v>0.8</v>
      </c>
    </row>
    <row r="250" spans="1:12" x14ac:dyDescent="0.25">
      <c r="A250">
        <f t="shared" si="24"/>
        <v>10.125</v>
      </c>
      <c r="C250" s="262">
        <v>243</v>
      </c>
      <c r="D250" s="266">
        <f t="shared" si="25"/>
        <v>216894.85004929831</v>
      </c>
      <c r="E250" s="258">
        <f t="shared" si="28"/>
        <v>336</v>
      </c>
      <c r="F250" s="258">
        <f t="shared" si="28"/>
        <v>27.52</v>
      </c>
      <c r="G250" s="258">
        <f t="shared" si="28"/>
        <v>3.44</v>
      </c>
      <c r="K250">
        <f t="shared" si="26"/>
        <v>2</v>
      </c>
      <c r="L250">
        <f t="shared" si="27"/>
        <v>0.8</v>
      </c>
    </row>
    <row r="251" spans="1:12" x14ac:dyDescent="0.25">
      <c r="A251">
        <f t="shared" si="24"/>
        <v>10.166666666666666</v>
      </c>
      <c r="C251" s="262">
        <v>244</v>
      </c>
      <c r="D251" s="266">
        <f t="shared" si="25"/>
        <v>211550.57737236036</v>
      </c>
      <c r="E251" s="258">
        <f t="shared" si="28"/>
        <v>336</v>
      </c>
      <c r="F251" s="258">
        <f t="shared" si="28"/>
        <v>27.52</v>
      </c>
      <c r="G251" s="258">
        <f t="shared" si="28"/>
        <v>3.44</v>
      </c>
      <c r="K251">
        <f t="shared" si="26"/>
        <v>2</v>
      </c>
      <c r="L251">
        <f t="shared" si="27"/>
        <v>0.8</v>
      </c>
    </row>
    <row r="252" spans="1:12" x14ac:dyDescent="0.25">
      <c r="A252">
        <f t="shared" si="24"/>
        <v>10.208333333333334</v>
      </c>
      <c r="C252" s="262">
        <v>245</v>
      </c>
      <c r="D252" s="266">
        <f t="shared" si="25"/>
        <v>215232.93505457431</v>
      </c>
      <c r="E252" s="258">
        <f t="shared" si="28"/>
        <v>336</v>
      </c>
      <c r="F252" s="258">
        <f t="shared" si="28"/>
        <v>27.52</v>
      </c>
      <c r="G252" s="258">
        <f t="shared" si="28"/>
        <v>3.44</v>
      </c>
      <c r="K252">
        <f t="shared" si="26"/>
        <v>2</v>
      </c>
      <c r="L252">
        <f t="shared" si="27"/>
        <v>0.8</v>
      </c>
    </row>
    <row r="253" spans="1:12" x14ac:dyDescent="0.25">
      <c r="A253">
        <f t="shared" si="24"/>
        <v>10.25</v>
      </c>
      <c r="C253" s="262">
        <v>246</v>
      </c>
      <c r="D253" s="266">
        <f t="shared" si="25"/>
        <v>227791.2112075786</v>
      </c>
      <c r="E253" s="258">
        <f t="shared" si="28"/>
        <v>336</v>
      </c>
      <c r="F253" s="258">
        <f t="shared" si="28"/>
        <v>27.52</v>
      </c>
      <c r="G253" s="258">
        <f t="shared" si="28"/>
        <v>3.44</v>
      </c>
      <c r="K253">
        <f t="shared" si="26"/>
        <v>2</v>
      </c>
      <c r="L253">
        <f t="shared" si="27"/>
        <v>0.8</v>
      </c>
    </row>
    <row r="254" spans="1:12" x14ac:dyDescent="0.25">
      <c r="A254">
        <f t="shared" si="24"/>
        <v>10.291666666666666</v>
      </c>
      <c r="C254" s="262">
        <v>247</v>
      </c>
      <c r="D254" s="266">
        <f t="shared" si="25"/>
        <v>247162.43226772707</v>
      </c>
      <c r="E254" s="258">
        <f t="shared" si="28"/>
        <v>336</v>
      </c>
      <c r="F254" s="258">
        <f t="shared" si="28"/>
        <v>27.52</v>
      </c>
      <c r="G254" s="258">
        <f t="shared" si="28"/>
        <v>3.44</v>
      </c>
      <c r="K254">
        <f t="shared" si="26"/>
        <v>2</v>
      </c>
      <c r="L254">
        <f t="shared" si="27"/>
        <v>0.8</v>
      </c>
    </row>
    <row r="255" spans="1:12" x14ac:dyDescent="0.25">
      <c r="A255">
        <f t="shared" si="24"/>
        <v>10.333333333333334</v>
      </c>
      <c r="C255" s="262">
        <v>248</v>
      </c>
      <c r="D255" s="266">
        <f t="shared" si="25"/>
        <v>269835.4055126718</v>
      </c>
      <c r="E255" s="258">
        <f t="shared" si="28"/>
        <v>336</v>
      </c>
      <c r="F255" s="258">
        <f t="shared" si="28"/>
        <v>27.52</v>
      </c>
      <c r="G255" s="258">
        <f t="shared" si="28"/>
        <v>3.44</v>
      </c>
      <c r="K255">
        <f t="shared" si="26"/>
        <v>2</v>
      </c>
      <c r="L255">
        <f t="shared" si="27"/>
        <v>0.8</v>
      </c>
    </row>
    <row r="256" spans="1:12" x14ac:dyDescent="0.25">
      <c r="A256">
        <f t="shared" si="24"/>
        <v>10.375</v>
      </c>
      <c r="C256" s="262">
        <v>249</v>
      </c>
      <c r="D256" s="266">
        <f t="shared" si="25"/>
        <v>291677.09809286549</v>
      </c>
      <c r="E256" s="258">
        <f t="shared" si="28"/>
        <v>336</v>
      </c>
      <c r="F256" s="258">
        <f t="shared" si="28"/>
        <v>27.52</v>
      </c>
      <c r="G256" s="258">
        <f t="shared" si="28"/>
        <v>3.44</v>
      </c>
      <c r="K256">
        <f t="shared" si="26"/>
        <v>2</v>
      </c>
      <c r="L256">
        <f t="shared" si="27"/>
        <v>0.8</v>
      </c>
    </row>
    <row r="257" spans="1:12" x14ac:dyDescent="0.25">
      <c r="A257">
        <f t="shared" si="24"/>
        <v>10.416666666666666</v>
      </c>
      <c r="C257" s="262">
        <v>250</v>
      </c>
      <c r="D257" s="266">
        <f t="shared" si="25"/>
        <v>308907.7240322188</v>
      </c>
      <c r="E257" s="258">
        <f t="shared" si="28"/>
        <v>336</v>
      </c>
      <c r="F257" s="258">
        <f t="shared" si="28"/>
        <v>27.52</v>
      </c>
      <c r="G257" s="258">
        <f t="shared" si="28"/>
        <v>3.44</v>
      </c>
      <c r="K257">
        <f t="shared" si="26"/>
        <v>2</v>
      </c>
      <c r="L257">
        <f t="shared" si="27"/>
        <v>0.8</v>
      </c>
    </row>
    <row r="258" spans="1:12" x14ac:dyDescent="0.25">
      <c r="A258">
        <f t="shared" si="24"/>
        <v>10.458333333333334</v>
      </c>
      <c r="C258" s="262">
        <v>251</v>
      </c>
      <c r="D258" s="266">
        <f t="shared" si="25"/>
        <v>318972.2852535079</v>
      </c>
      <c r="E258" s="258">
        <f t="shared" si="28"/>
        <v>336</v>
      </c>
      <c r="F258" s="258">
        <f t="shared" si="28"/>
        <v>27.52</v>
      </c>
      <c r="G258" s="258">
        <f t="shared" si="28"/>
        <v>3.44</v>
      </c>
      <c r="K258">
        <f t="shared" si="26"/>
        <v>2</v>
      </c>
      <c r="L258">
        <f t="shared" si="27"/>
        <v>0.8</v>
      </c>
    </row>
    <row r="259" spans="1:12" x14ac:dyDescent="0.25">
      <c r="A259">
        <f t="shared" si="24"/>
        <v>10.5</v>
      </c>
      <c r="C259" s="262">
        <v>252</v>
      </c>
      <c r="D259" s="266">
        <f t="shared" si="25"/>
        <v>321084.6638396784</v>
      </c>
      <c r="E259" s="258">
        <f t="shared" si="28"/>
        <v>336</v>
      </c>
      <c r="F259" s="258">
        <f t="shared" si="28"/>
        <v>27.52</v>
      </c>
      <c r="G259" s="258">
        <f t="shared" si="28"/>
        <v>3.44</v>
      </c>
      <c r="K259">
        <f t="shared" si="26"/>
        <v>2</v>
      </c>
      <c r="L259">
        <f t="shared" si="27"/>
        <v>0.8</v>
      </c>
    </row>
    <row r="260" spans="1:12" x14ac:dyDescent="0.25">
      <c r="A260">
        <f t="shared" si="24"/>
        <v>10.541666666666666</v>
      </c>
      <c r="C260" s="262">
        <v>253</v>
      </c>
      <c r="D260" s="266">
        <f t="shared" si="25"/>
        <v>316308.05247830477</v>
      </c>
      <c r="E260" s="258">
        <f t="shared" si="28"/>
        <v>336</v>
      </c>
      <c r="F260" s="258">
        <f t="shared" si="28"/>
        <v>27.52</v>
      </c>
      <c r="G260" s="258">
        <f t="shared" si="28"/>
        <v>3.44</v>
      </c>
      <c r="K260">
        <f t="shared" si="26"/>
        <v>2</v>
      </c>
      <c r="L260">
        <f t="shared" si="27"/>
        <v>0.8</v>
      </c>
    </row>
    <row r="261" spans="1:12" x14ac:dyDescent="0.25">
      <c r="A261">
        <f t="shared" si="24"/>
        <v>10.583333333333334</v>
      </c>
      <c r="C261" s="262">
        <v>254</v>
      </c>
      <c r="D261" s="266">
        <f t="shared" si="25"/>
        <v>307159.04535949661</v>
      </c>
      <c r="E261" s="258">
        <f t="shared" si="28"/>
        <v>336</v>
      </c>
      <c r="F261" s="258">
        <f t="shared" si="28"/>
        <v>27.52</v>
      </c>
      <c r="G261" s="258">
        <f t="shared" si="28"/>
        <v>3.44</v>
      </c>
      <c r="K261">
        <f t="shared" si="26"/>
        <v>2</v>
      </c>
      <c r="L261">
        <f t="shared" si="27"/>
        <v>0.8</v>
      </c>
    </row>
    <row r="262" spans="1:12" x14ac:dyDescent="0.25">
      <c r="A262">
        <f t="shared" si="24"/>
        <v>10.625</v>
      </c>
      <c r="C262" s="262">
        <v>255</v>
      </c>
      <c r="D262" s="266">
        <f t="shared" si="25"/>
        <v>296849.03939071536</v>
      </c>
      <c r="E262" s="258">
        <f t="shared" si="28"/>
        <v>336</v>
      </c>
      <c r="F262" s="258">
        <f t="shared" si="28"/>
        <v>27.52</v>
      </c>
      <c r="G262" s="258">
        <f t="shared" si="28"/>
        <v>3.44</v>
      </c>
      <c r="K262">
        <f t="shared" si="26"/>
        <v>2</v>
      </c>
      <c r="L262">
        <f t="shared" si="27"/>
        <v>0.8</v>
      </c>
    </row>
    <row r="263" spans="1:12" x14ac:dyDescent="0.25">
      <c r="A263">
        <f t="shared" si="24"/>
        <v>10.666666666666666</v>
      </c>
      <c r="C263" s="262">
        <v>256</v>
      </c>
      <c r="D263" s="266">
        <f t="shared" si="25"/>
        <v>288371.95516249607</v>
      </c>
      <c r="E263" s="258">
        <f t="shared" si="28"/>
        <v>336</v>
      </c>
      <c r="F263" s="258">
        <f t="shared" si="28"/>
        <v>27.52</v>
      </c>
      <c r="G263" s="258">
        <f t="shared" si="28"/>
        <v>3.44</v>
      </c>
      <c r="K263">
        <f t="shared" si="26"/>
        <v>2</v>
      </c>
      <c r="L263">
        <f t="shared" si="27"/>
        <v>0.8</v>
      </c>
    </row>
    <row r="264" spans="1:12" x14ac:dyDescent="0.25">
      <c r="A264">
        <f t="shared" ref="A264:A327" si="29">C264/24</f>
        <v>10.708333333333334</v>
      </c>
      <c r="C264" s="262">
        <v>257</v>
      </c>
      <c r="D264" s="266">
        <f t="shared" ref="D264:D270" si="30">D72*K264</f>
        <v>283686.25135036034</v>
      </c>
      <c r="E264" s="258">
        <f t="shared" si="28"/>
        <v>336</v>
      </c>
      <c r="F264" s="258">
        <f t="shared" si="28"/>
        <v>27.52</v>
      </c>
      <c r="G264" s="258">
        <f t="shared" si="28"/>
        <v>3.44</v>
      </c>
      <c r="K264">
        <f t="shared" ref="K264:K318" si="31">$T$15</f>
        <v>2</v>
      </c>
      <c r="L264">
        <f t="shared" ref="L264:L318" si="32">$U$15</f>
        <v>0.8</v>
      </c>
    </row>
    <row r="265" spans="1:12" x14ac:dyDescent="0.25">
      <c r="A265">
        <f t="shared" si="29"/>
        <v>10.75</v>
      </c>
      <c r="C265" s="262">
        <v>258</v>
      </c>
      <c r="D265" s="266">
        <f t="shared" si="30"/>
        <v>283211.48562791094</v>
      </c>
      <c r="E265" s="258">
        <f t="shared" si="28"/>
        <v>336</v>
      </c>
      <c r="F265" s="258">
        <f t="shared" si="28"/>
        <v>27.52</v>
      </c>
      <c r="G265" s="258">
        <f t="shared" si="28"/>
        <v>3.44</v>
      </c>
      <c r="K265">
        <f t="shared" si="31"/>
        <v>2</v>
      </c>
      <c r="L265">
        <f t="shared" si="32"/>
        <v>0.8</v>
      </c>
    </row>
    <row r="266" spans="1:12" x14ac:dyDescent="0.25">
      <c r="A266">
        <f t="shared" si="29"/>
        <v>10.791666666666666</v>
      </c>
      <c r="C266" s="262">
        <v>259</v>
      </c>
      <c r="D266" s="266">
        <f t="shared" si="30"/>
        <v>285772.8646971939</v>
      </c>
      <c r="E266" s="258">
        <f t="shared" si="28"/>
        <v>336</v>
      </c>
      <c r="F266" s="258">
        <f t="shared" si="28"/>
        <v>27.52</v>
      </c>
      <c r="G266" s="258">
        <f t="shared" si="28"/>
        <v>3.44</v>
      </c>
      <c r="K266">
        <f t="shared" si="31"/>
        <v>2</v>
      </c>
      <c r="L266">
        <f t="shared" si="32"/>
        <v>0.8</v>
      </c>
    </row>
    <row r="267" spans="1:12" x14ac:dyDescent="0.25">
      <c r="A267">
        <f t="shared" si="29"/>
        <v>10.833333333333334</v>
      </c>
      <c r="C267" s="262">
        <v>260</v>
      </c>
      <c r="D267" s="266">
        <f t="shared" si="30"/>
        <v>289004.75878796127</v>
      </c>
      <c r="E267" s="258">
        <f t="shared" si="28"/>
        <v>336</v>
      </c>
      <c r="F267" s="258">
        <f t="shared" si="28"/>
        <v>27.52</v>
      </c>
      <c r="G267" s="258">
        <f t="shared" si="28"/>
        <v>3.44</v>
      </c>
      <c r="K267">
        <f t="shared" si="31"/>
        <v>2</v>
      </c>
      <c r="L267">
        <f t="shared" si="32"/>
        <v>0.8</v>
      </c>
    </row>
    <row r="268" spans="1:12" x14ac:dyDescent="0.25">
      <c r="A268">
        <f t="shared" si="29"/>
        <v>10.875</v>
      </c>
      <c r="C268" s="262">
        <v>261</v>
      </c>
      <c r="D268" s="266">
        <f t="shared" si="30"/>
        <v>290099.01246712072</v>
      </c>
      <c r="E268" s="258">
        <f t="shared" si="28"/>
        <v>336</v>
      </c>
      <c r="F268" s="258">
        <f t="shared" si="28"/>
        <v>27.52</v>
      </c>
      <c r="G268" s="258">
        <f t="shared" si="28"/>
        <v>3.44</v>
      </c>
      <c r="K268">
        <f t="shared" si="31"/>
        <v>2</v>
      </c>
      <c r="L268">
        <f t="shared" si="32"/>
        <v>0.8</v>
      </c>
    </row>
    <row r="269" spans="1:12" x14ac:dyDescent="0.25">
      <c r="A269">
        <f t="shared" si="29"/>
        <v>10.916666666666666</v>
      </c>
      <c r="C269" s="262">
        <v>262</v>
      </c>
      <c r="D269" s="266">
        <f t="shared" si="30"/>
        <v>286689.7434329245</v>
      </c>
      <c r="E269" s="258">
        <f t="shared" si="28"/>
        <v>336</v>
      </c>
      <c r="F269" s="258">
        <f t="shared" si="28"/>
        <v>27.52</v>
      </c>
      <c r="G269" s="258">
        <f t="shared" si="28"/>
        <v>3.44</v>
      </c>
      <c r="K269">
        <f t="shared" si="31"/>
        <v>2</v>
      </c>
      <c r="L269">
        <f t="shared" si="32"/>
        <v>0.8</v>
      </c>
    </row>
    <row r="270" spans="1:12" x14ac:dyDescent="0.25">
      <c r="A270">
        <f t="shared" si="29"/>
        <v>10.958333333333334</v>
      </c>
      <c r="C270" s="262">
        <v>263</v>
      </c>
      <c r="D270" s="266">
        <f t="shared" si="30"/>
        <v>277628.52834155707</v>
      </c>
      <c r="E270" s="258">
        <f t="shared" si="28"/>
        <v>336</v>
      </c>
      <c r="F270" s="258">
        <f t="shared" si="28"/>
        <v>27.52</v>
      </c>
      <c r="G270" s="258">
        <f t="shared" si="28"/>
        <v>3.44</v>
      </c>
      <c r="K270">
        <f t="shared" si="31"/>
        <v>2</v>
      </c>
      <c r="L270">
        <f t="shared" si="32"/>
        <v>0.8</v>
      </c>
    </row>
    <row r="271" spans="1:12" x14ac:dyDescent="0.25">
      <c r="A271">
        <f t="shared" si="29"/>
        <v>11</v>
      </c>
      <c r="C271" s="262">
        <v>264</v>
      </c>
      <c r="D271" s="266">
        <f>D7*K271</f>
        <v>263432.63932483224</v>
      </c>
      <c r="E271" s="258">
        <f t="shared" si="28"/>
        <v>336</v>
      </c>
      <c r="F271" s="258">
        <f t="shared" si="28"/>
        <v>27.52</v>
      </c>
      <c r="G271" s="258">
        <f t="shared" si="28"/>
        <v>3.44</v>
      </c>
      <c r="K271">
        <f t="shared" si="31"/>
        <v>2</v>
      </c>
      <c r="L271">
        <f t="shared" si="32"/>
        <v>0.8</v>
      </c>
    </row>
    <row r="272" spans="1:12" x14ac:dyDescent="0.25">
      <c r="A272">
        <f t="shared" si="29"/>
        <v>11.041666666666666</v>
      </c>
      <c r="C272" s="262">
        <v>265</v>
      </c>
      <c r="D272" s="266">
        <f t="shared" ref="D272:D318" si="33">D8*K272</f>
        <v>246276.65055677434</v>
      </c>
      <c r="E272" s="258">
        <f t="shared" si="28"/>
        <v>336</v>
      </c>
      <c r="F272" s="258">
        <f t="shared" si="28"/>
        <v>27.52</v>
      </c>
      <c r="G272" s="258">
        <f t="shared" si="28"/>
        <v>3.44</v>
      </c>
      <c r="K272">
        <f t="shared" si="31"/>
        <v>2</v>
      </c>
      <c r="L272">
        <f t="shared" si="32"/>
        <v>0.8</v>
      </c>
    </row>
    <row r="273" spans="1:12" x14ac:dyDescent="0.25">
      <c r="A273">
        <f t="shared" si="29"/>
        <v>11.083333333333334</v>
      </c>
      <c r="C273" s="262">
        <v>266</v>
      </c>
      <c r="D273" s="266">
        <f t="shared" si="33"/>
        <v>229520.79033987047</v>
      </c>
      <c r="E273" s="258">
        <f t="shared" si="28"/>
        <v>336</v>
      </c>
      <c r="F273" s="258">
        <f t="shared" si="28"/>
        <v>27.52</v>
      </c>
      <c r="G273" s="258">
        <f t="shared" si="28"/>
        <v>3.44</v>
      </c>
      <c r="K273">
        <f t="shared" si="31"/>
        <v>2</v>
      </c>
      <c r="L273">
        <f t="shared" si="32"/>
        <v>0.8</v>
      </c>
    </row>
    <row r="274" spans="1:12" x14ac:dyDescent="0.25">
      <c r="A274">
        <f t="shared" si="29"/>
        <v>11.125</v>
      </c>
      <c r="C274" s="262">
        <v>267</v>
      </c>
      <c r="D274" s="266">
        <f t="shared" si="33"/>
        <v>216894.85004929831</v>
      </c>
      <c r="E274" s="258">
        <f t="shared" si="28"/>
        <v>336</v>
      </c>
      <c r="F274" s="258">
        <f t="shared" si="28"/>
        <v>27.52</v>
      </c>
      <c r="G274" s="258">
        <f t="shared" si="28"/>
        <v>3.44</v>
      </c>
      <c r="K274">
        <f t="shared" si="31"/>
        <v>2</v>
      </c>
      <c r="L274">
        <f t="shared" si="32"/>
        <v>0.8</v>
      </c>
    </row>
    <row r="275" spans="1:12" x14ac:dyDescent="0.25">
      <c r="A275">
        <f t="shared" si="29"/>
        <v>11.166666666666666</v>
      </c>
      <c r="C275" s="262">
        <v>268</v>
      </c>
      <c r="D275" s="266">
        <f t="shared" si="33"/>
        <v>211550.57737236036</v>
      </c>
      <c r="E275" s="258">
        <f t="shared" si="28"/>
        <v>336</v>
      </c>
      <c r="F275" s="258">
        <f t="shared" si="28"/>
        <v>27.52</v>
      </c>
      <c r="G275" s="258">
        <f t="shared" si="28"/>
        <v>3.44</v>
      </c>
      <c r="K275">
        <f t="shared" si="31"/>
        <v>2</v>
      </c>
      <c r="L275">
        <f t="shared" si="32"/>
        <v>0.8</v>
      </c>
    </row>
    <row r="276" spans="1:12" x14ac:dyDescent="0.25">
      <c r="A276">
        <f t="shared" si="29"/>
        <v>11.208333333333334</v>
      </c>
      <c r="C276" s="262">
        <v>269</v>
      </c>
      <c r="D276" s="266">
        <f t="shared" si="33"/>
        <v>215232.93505457431</v>
      </c>
      <c r="E276" s="258">
        <f t="shared" si="28"/>
        <v>336</v>
      </c>
      <c r="F276" s="258">
        <f t="shared" si="28"/>
        <v>27.52</v>
      </c>
      <c r="G276" s="258">
        <f t="shared" si="28"/>
        <v>3.44</v>
      </c>
      <c r="K276">
        <f t="shared" si="31"/>
        <v>2</v>
      </c>
      <c r="L276">
        <f t="shared" si="32"/>
        <v>0.8</v>
      </c>
    </row>
    <row r="277" spans="1:12" x14ac:dyDescent="0.25">
      <c r="A277">
        <f t="shared" si="29"/>
        <v>11.25</v>
      </c>
      <c r="C277" s="262">
        <v>270</v>
      </c>
      <c r="D277" s="266">
        <f t="shared" si="33"/>
        <v>227791.2112075786</v>
      </c>
      <c r="E277" s="258">
        <f t="shared" si="28"/>
        <v>336</v>
      </c>
      <c r="F277" s="258">
        <f t="shared" si="28"/>
        <v>27.52</v>
      </c>
      <c r="G277" s="258">
        <f t="shared" si="28"/>
        <v>3.44</v>
      </c>
      <c r="K277">
        <f t="shared" si="31"/>
        <v>2</v>
      </c>
      <c r="L277">
        <f t="shared" si="32"/>
        <v>0.8</v>
      </c>
    </row>
    <row r="278" spans="1:12" x14ac:dyDescent="0.25">
      <c r="A278">
        <f t="shared" si="29"/>
        <v>11.291666666666666</v>
      </c>
      <c r="C278" s="262">
        <v>271</v>
      </c>
      <c r="D278" s="266">
        <f t="shared" si="33"/>
        <v>247162.43226772707</v>
      </c>
      <c r="E278" s="258">
        <f t="shared" si="28"/>
        <v>336</v>
      </c>
      <c r="F278" s="258">
        <f t="shared" si="28"/>
        <v>27.52</v>
      </c>
      <c r="G278" s="258">
        <f t="shared" si="28"/>
        <v>3.44</v>
      </c>
      <c r="K278">
        <f t="shared" si="31"/>
        <v>2</v>
      </c>
      <c r="L278">
        <f t="shared" si="32"/>
        <v>0.8</v>
      </c>
    </row>
    <row r="279" spans="1:12" x14ac:dyDescent="0.25">
      <c r="A279">
        <f t="shared" si="29"/>
        <v>11.333333333333334</v>
      </c>
      <c r="C279" s="262">
        <v>272</v>
      </c>
      <c r="D279" s="266">
        <f t="shared" si="33"/>
        <v>269835.4055126718</v>
      </c>
      <c r="E279" s="258">
        <f t="shared" si="28"/>
        <v>336</v>
      </c>
      <c r="F279" s="258">
        <f t="shared" si="28"/>
        <v>27.52</v>
      </c>
      <c r="G279" s="258">
        <f t="shared" si="28"/>
        <v>3.44</v>
      </c>
      <c r="K279">
        <f t="shared" si="31"/>
        <v>2</v>
      </c>
      <c r="L279">
        <f t="shared" si="32"/>
        <v>0.8</v>
      </c>
    </row>
    <row r="280" spans="1:12" x14ac:dyDescent="0.25">
      <c r="A280">
        <f t="shared" si="29"/>
        <v>11.375</v>
      </c>
      <c r="C280" s="262">
        <v>273</v>
      </c>
      <c r="D280" s="266">
        <f t="shared" si="33"/>
        <v>291677.09809286549</v>
      </c>
      <c r="E280" s="258">
        <f t="shared" si="28"/>
        <v>336</v>
      </c>
      <c r="F280" s="258">
        <f t="shared" si="28"/>
        <v>27.52</v>
      </c>
      <c r="G280" s="258">
        <f t="shared" si="28"/>
        <v>3.44</v>
      </c>
      <c r="K280">
        <f t="shared" si="31"/>
        <v>2</v>
      </c>
      <c r="L280">
        <f t="shared" si="32"/>
        <v>0.8</v>
      </c>
    </row>
    <row r="281" spans="1:12" x14ac:dyDescent="0.25">
      <c r="A281">
        <f t="shared" si="29"/>
        <v>11.416666666666666</v>
      </c>
      <c r="C281" s="262">
        <v>274</v>
      </c>
      <c r="D281" s="266">
        <f t="shared" si="33"/>
        <v>308907.7240322188</v>
      </c>
      <c r="E281" s="258">
        <f t="shared" si="28"/>
        <v>336</v>
      </c>
      <c r="F281" s="258">
        <f t="shared" si="28"/>
        <v>27.52</v>
      </c>
      <c r="G281" s="258">
        <f t="shared" si="28"/>
        <v>3.44</v>
      </c>
      <c r="K281">
        <f t="shared" si="31"/>
        <v>2</v>
      </c>
      <c r="L281">
        <f t="shared" si="32"/>
        <v>0.8</v>
      </c>
    </row>
    <row r="282" spans="1:12" x14ac:dyDescent="0.25">
      <c r="A282">
        <f t="shared" si="29"/>
        <v>11.458333333333334</v>
      </c>
      <c r="C282" s="262">
        <v>275</v>
      </c>
      <c r="D282" s="266">
        <f t="shared" si="33"/>
        <v>318972.2852535079</v>
      </c>
      <c r="E282" s="258">
        <f t="shared" si="28"/>
        <v>336</v>
      </c>
      <c r="F282" s="258">
        <f t="shared" si="28"/>
        <v>27.52</v>
      </c>
      <c r="G282" s="258">
        <f t="shared" si="28"/>
        <v>3.44</v>
      </c>
      <c r="K282">
        <f t="shared" si="31"/>
        <v>2</v>
      </c>
      <c r="L282">
        <f t="shared" si="32"/>
        <v>0.8</v>
      </c>
    </row>
    <row r="283" spans="1:12" x14ac:dyDescent="0.25">
      <c r="A283">
        <f t="shared" si="29"/>
        <v>11.5</v>
      </c>
      <c r="C283" s="262">
        <v>276</v>
      </c>
      <c r="D283" s="266">
        <f t="shared" si="33"/>
        <v>321084.6638396784</v>
      </c>
      <c r="E283" s="258">
        <f t="shared" si="28"/>
        <v>336</v>
      </c>
      <c r="F283" s="258">
        <f t="shared" si="28"/>
        <v>27.52</v>
      </c>
      <c r="G283" s="258">
        <f t="shared" si="28"/>
        <v>3.44</v>
      </c>
      <c r="K283">
        <f t="shared" si="31"/>
        <v>2</v>
      </c>
      <c r="L283">
        <f t="shared" si="32"/>
        <v>0.8</v>
      </c>
    </row>
    <row r="284" spans="1:12" x14ac:dyDescent="0.25">
      <c r="A284">
        <f t="shared" si="29"/>
        <v>11.541666666666666</v>
      </c>
      <c r="C284" s="262">
        <v>277</v>
      </c>
      <c r="D284" s="266">
        <f t="shared" si="33"/>
        <v>316308.05247830477</v>
      </c>
      <c r="E284" s="258">
        <f t="shared" si="28"/>
        <v>336</v>
      </c>
      <c r="F284" s="258">
        <f t="shared" si="28"/>
        <v>27.52</v>
      </c>
      <c r="G284" s="258">
        <f t="shared" si="28"/>
        <v>3.44</v>
      </c>
      <c r="K284">
        <f t="shared" si="31"/>
        <v>2</v>
      </c>
      <c r="L284">
        <f t="shared" si="32"/>
        <v>0.8</v>
      </c>
    </row>
    <row r="285" spans="1:12" x14ac:dyDescent="0.25">
      <c r="A285">
        <f t="shared" si="29"/>
        <v>11.583333333333334</v>
      </c>
      <c r="C285" s="262">
        <v>278</v>
      </c>
      <c r="D285" s="266">
        <f t="shared" si="33"/>
        <v>307159.04535949661</v>
      </c>
      <c r="E285" s="258">
        <f t="shared" si="28"/>
        <v>336</v>
      </c>
      <c r="F285" s="258">
        <f t="shared" si="28"/>
        <v>27.52</v>
      </c>
      <c r="G285" s="258">
        <f t="shared" si="28"/>
        <v>3.44</v>
      </c>
      <c r="K285">
        <f t="shared" si="31"/>
        <v>2</v>
      </c>
      <c r="L285">
        <f t="shared" si="32"/>
        <v>0.8</v>
      </c>
    </row>
    <row r="286" spans="1:12" x14ac:dyDescent="0.25">
      <c r="A286">
        <f t="shared" si="29"/>
        <v>11.625</v>
      </c>
      <c r="C286" s="262">
        <v>279</v>
      </c>
      <c r="D286" s="266">
        <f t="shared" si="33"/>
        <v>296849.03939071536</v>
      </c>
      <c r="E286" s="258">
        <f t="shared" si="28"/>
        <v>336</v>
      </c>
      <c r="F286" s="258">
        <f t="shared" si="28"/>
        <v>27.52</v>
      </c>
      <c r="G286" s="258">
        <f t="shared" si="28"/>
        <v>3.44</v>
      </c>
      <c r="K286">
        <f t="shared" si="31"/>
        <v>2</v>
      </c>
      <c r="L286">
        <f t="shared" si="32"/>
        <v>0.8</v>
      </c>
    </row>
    <row r="287" spans="1:12" x14ac:dyDescent="0.25">
      <c r="A287">
        <f t="shared" si="29"/>
        <v>11.666666666666666</v>
      </c>
      <c r="C287" s="262">
        <v>280</v>
      </c>
      <c r="D287" s="266">
        <f t="shared" si="33"/>
        <v>288371.95516249607</v>
      </c>
      <c r="E287" s="258">
        <f t="shared" si="28"/>
        <v>336</v>
      </c>
      <c r="F287" s="258">
        <f t="shared" si="28"/>
        <v>27.52</v>
      </c>
      <c r="G287" s="258">
        <f t="shared" si="28"/>
        <v>3.44</v>
      </c>
      <c r="K287">
        <f t="shared" si="31"/>
        <v>2</v>
      </c>
      <c r="L287">
        <f t="shared" si="32"/>
        <v>0.8</v>
      </c>
    </row>
    <row r="288" spans="1:12" x14ac:dyDescent="0.25">
      <c r="A288">
        <f t="shared" si="29"/>
        <v>11.708333333333334</v>
      </c>
      <c r="C288" s="262">
        <v>281</v>
      </c>
      <c r="D288" s="266">
        <f t="shared" si="33"/>
        <v>283686.25135036034</v>
      </c>
      <c r="E288" s="258">
        <f t="shared" si="28"/>
        <v>336</v>
      </c>
      <c r="F288" s="258">
        <f t="shared" si="28"/>
        <v>27.52</v>
      </c>
      <c r="G288" s="258">
        <f t="shared" si="28"/>
        <v>3.44</v>
      </c>
      <c r="K288">
        <f t="shared" si="31"/>
        <v>2</v>
      </c>
      <c r="L288">
        <f t="shared" si="32"/>
        <v>0.8</v>
      </c>
    </row>
    <row r="289" spans="1:12" x14ac:dyDescent="0.25">
      <c r="A289">
        <f t="shared" si="29"/>
        <v>11.75</v>
      </c>
      <c r="C289" s="262">
        <v>282</v>
      </c>
      <c r="D289" s="266">
        <f t="shared" si="33"/>
        <v>283211.48562791094</v>
      </c>
      <c r="E289" s="258">
        <f t="shared" si="28"/>
        <v>336</v>
      </c>
      <c r="F289" s="258">
        <f t="shared" si="28"/>
        <v>27.52</v>
      </c>
      <c r="G289" s="258">
        <f t="shared" si="28"/>
        <v>3.44</v>
      </c>
      <c r="K289">
        <f t="shared" si="31"/>
        <v>2</v>
      </c>
      <c r="L289">
        <f t="shared" si="32"/>
        <v>0.8</v>
      </c>
    </row>
    <row r="290" spans="1:12" x14ac:dyDescent="0.25">
      <c r="A290">
        <f t="shared" si="29"/>
        <v>11.791666666666666</v>
      </c>
      <c r="C290" s="262">
        <v>283</v>
      </c>
      <c r="D290" s="266">
        <f t="shared" si="33"/>
        <v>285772.8646971939</v>
      </c>
      <c r="E290" s="258">
        <f t="shared" si="28"/>
        <v>336</v>
      </c>
      <c r="F290" s="258">
        <f t="shared" si="28"/>
        <v>27.52</v>
      </c>
      <c r="G290" s="258">
        <f t="shared" si="28"/>
        <v>3.44</v>
      </c>
      <c r="K290">
        <f t="shared" si="31"/>
        <v>2</v>
      </c>
      <c r="L290">
        <f t="shared" si="32"/>
        <v>0.8</v>
      </c>
    </row>
    <row r="291" spans="1:12" x14ac:dyDescent="0.25">
      <c r="A291">
        <f t="shared" si="29"/>
        <v>11.833333333333334</v>
      </c>
      <c r="C291" s="262">
        <v>284</v>
      </c>
      <c r="D291" s="266">
        <f t="shared" si="33"/>
        <v>289004.75878796127</v>
      </c>
      <c r="E291" s="258">
        <f t="shared" si="28"/>
        <v>336</v>
      </c>
      <c r="F291" s="258">
        <f t="shared" si="28"/>
        <v>27.52</v>
      </c>
      <c r="G291" s="258">
        <f t="shared" si="28"/>
        <v>3.44</v>
      </c>
      <c r="K291">
        <f t="shared" si="31"/>
        <v>2</v>
      </c>
      <c r="L291">
        <f t="shared" si="32"/>
        <v>0.8</v>
      </c>
    </row>
    <row r="292" spans="1:12" x14ac:dyDescent="0.25">
      <c r="A292">
        <f t="shared" si="29"/>
        <v>11.875</v>
      </c>
      <c r="C292" s="262">
        <v>285</v>
      </c>
      <c r="D292" s="266">
        <f t="shared" si="33"/>
        <v>290099.01246712072</v>
      </c>
      <c r="E292" s="258">
        <f t="shared" si="28"/>
        <v>336</v>
      </c>
      <c r="F292" s="258">
        <f t="shared" si="28"/>
        <v>27.52</v>
      </c>
      <c r="G292" s="258">
        <f t="shared" si="28"/>
        <v>3.44</v>
      </c>
      <c r="K292">
        <f t="shared" si="31"/>
        <v>2</v>
      </c>
      <c r="L292">
        <f t="shared" si="32"/>
        <v>0.8</v>
      </c>
    </row>
    <row r="293" spans="1:12" x14ac:dyDescent="0.25">
      <c r="A293">
        <f t="shared" si="29"/>
        <v>11.916666666666666</v>
      </c>
      <c r="C293" s="262">
        <v>286</v>
      </c>
      <c r="D293" s="266">
        <f t="shared" si="33"/>
        <v>286689.7434329245</v>
      </c>
      <c r="E293" s="258">
        <f t="shared" si="28"/>
        <v>336</v>
      </c>
      <c r="F293" s="258">
        <f t="shared" si="28"/>
        <v>27.52</v>
      </c>
      <c r="G293" s="258">
        <f t="shared" si="28"/>
        <v>3.44</v>
      </c>
      <c r="K293">
        <f t="shared" si="31"/>
        <v>2</v>
      </c>
      <c r="L293">
        <f t="shared" si="32"/>
        <v>0.8</v>
      </c>
    </row>
    <row r="294" spans="1:12" x14ac:dyDescent="0.25">
      <c r="A294">
        <f t="shared" si="29"/>
        <v>11.958333333333334</v>
      </c>
      <c r="C294" s="262">
        <v>287</v>
      </c>
      <c r="D294" s="266">
        <f t="shared" si="33"/>
        <v>277628.52834155707</v>
      </c>
      <c r="E294" s="258">
        <f t="shared" si="28"/>
        <v>336</v>
      </c>
      <c r="F294" s="258">
        <f t="shared" si="28"/>
        <v>27.52</v>
      </c>
      <c r="G294" s="258">
        <f t="shared" si="28"/>
        <v>3.44</v>
      </c>
      <c r="K294">
        <f t="shared" si="31"/>
        <v>2</v>
      </c>
      <c r="L294">
        <f t="shared" si="32"/>
        <v>0.8</v>
      </c>
    </row>
    <row r="295" spans="1:12" x14ac:dyDescent="0.25">
      <c r="A295">
        <f t="shared" si="29"/>
        <v>12</v>
      </c>
      <c r="C295" s="262">
        <v>288</v>
      </c>
      <c r="D295" s="266">
        <f t="shared" si="33"/>
        <v>263432.63932483224</v>
      </c>
      <c r="E295" s="258">
        <f t="shared" si="28"/>
        <v>336</v>
      </c>
      <c r="F295" s="258">
        <f t="shared" si="28"/>
        <v>27.52</v>
      </c>
      <c r="G295" s="258">
        <f t="shared" si="28"/>
        <v>3.44</v>
      </c>
      <c r="K295">
        <f t="shared" si="31"/>
        <v>2</v>
      </c>
      <c r="L295">
        <f t="shared" si="32"/>
        <v>0.8</v>
      </c>
    </row>
    <row r="296" spans="1:12" x14ac:dyDescent="0.25">
      <c r="A296">
        <f t="shared" si="29"/>
        <v>12.041666666666666</v>
      </c>
      <c r="C296" s="262">
        <v>289</v>
      </c>
      <c r="D296" s="266">
        <f t="shared" si="33"/>
        <v>246276.65055677434</v>
      </c>
      <c r="E296" s="258">
        <f t="shared" ref="E296:G359" si="34">E$3*$L296</f>
        <v>336</v>
      </c>
      <c r="F296" s="258">
        <f t="shared" si="34"/>
        <v>27.52</v>
      </c>
      <c r="G296" s="258">
        <f t="shared" si="34"/>
        <v>3.44</v>
      </c>
      <c r="K296">
        <f t="shared" si="31"/>
        <v>2</v>
      </c>
      <c r="L296">
        <f t="shared" si="32"/>
        <v>0.8</v>
      </c>
    </row>
    <row r="297" spans="1:12" x14ac:dyDescent="0.25">
      <c r="A297">
        <f t="shared" si="29"/>
        <v>12.083333333333334</v>
      </c>
      <c r="C297" s="262">
        <v>290</v>
      </c>
      <c r="D297" s="266">
        <f t="shared" si="33"/>
        <v>229520.79033987047</v>
      </c>
      <c r="E297" s="258">
        <f t="shared" si="34"/>
        <v>336</v>
      </c>
      <c r="F297" s="258">
        <f t="shared" si="34"/>
        <v>27.52</v>
      </c>
      <c r="G297" s="258">
        <f t="shared" si="34"/>
        <v>3.44</v>
      </c>
      <c r="K297">
        <f t="shared" si="31"/>
        <v>2</v>
      </c>
      <c r="L297">
        <f t="shared" si="32"/>
        <v>0.8</v>
      </c>
    </row>
    <row r="298" spans="1:12" x14ac:dyDescent="0.25">
      <c r="A298">
        <f t="shared" si="29"/>
        <v>12.125</v>
      </c>
      <c r="C298" s="262">
        <v>291</v>
      </c>
      <c r="D298" s="266">
        <f t="shared" si="33"/>
        <v>216894.85004929831</v>
      </c>
      <c r="E298" s="258">
        <f t="shared" si="34"/>
        <v>336</v>
      </c>
      <c r="F298" s="258">
        <f t="shared" si="34"/>
        <v>27.52</v>
      </c>
      <c r="G298" s="258">
        <f t="shared" si="34"/>
        <v>3.44</v>
      </c>
      <c r="K298">
        <f t="shared" si="31"/>
        <v>2</v>
      </c>
      <c r="L298">
        <f t="shared" si="32"/>
        <v>0.8</v>
      </c>
    </row>
    <row r="299" spans="1:12" x14ac:dyDescent="0.25">
      <c r="A299">
        <f t="shared" si="29"/>
        <v>12.166666666666666</v>
      </c>
      <c r="C299" s="262">
        <v>292</v>
      </c>
      <c r="D299" s="266">
        <f t="shared" si="33"/>
        <v>211550.57737236036</v>
      </c>
      <c r="E299" s="258">
        <f t="shared" si="34"/>
        <v>336</v>
      </c>
      <c r="F299" s="258">
        <f t="shared" si="34"/>
        <v>27.52</v>
      </c>
      <c r="G299" s="258">
        <f t="shared" si="34"/>
        <v>3.44</v>
      </c>
      <c r="K299">
        <f t="shared" si="31"/>
        <v>2</v>
      </c>
      <c r="L299">
        <f t="shared" si="32"/>
        <v>0.8</v>
      </c>
    </row>
    <row r="300" spans="1:12" x14ac:dyDescent="0.25">
      <c r="A300">
        <f t="shared" si="29"/>
        <v>12.208333333333334</v>
      </c>
      <c r="C300" s="262">
        <v>293</v>
      </c>
      <c r="D300" s="266">
        <f t="shared" si="33"/>
        <v>215232.93505457431</v>
      </c>
      <c r="E300" s="258">
        <f t="shared" si="34"/>
        <v>336</v>
      </c>
      <c r="F300" s="258">
        <f t="shared" si="34"/>
        <v>27.52</v>
      </c>
      <c r="G300" s="258">
        <f t="shared" si="34"/>
        <v>3.44</v>
      </c>
      <c r="K300">
        <f t="shared" si="31"/>
        <v>2</v>
      </c>
      <c r="L300">
        <f t="shared" si="32"/>
        <v>0.8</v>
      </c>
    </row>
    <row r="301" spans="1:12" x14ac:dyDescent="0.25">
      <c r="A301">
        <f t="shared" si="29"/>
        <v>12.25</v>
      </c>
      <c r="C301" s="262">
        <v>294</v>
      </c>
      <c r="D301" s="266">
        <f t="shared" si="33"/>
        <v>227791.2112075786</v>
      </c>
      <c r="E301" s="258">
        <f t="shared" si="34"/>
        <v>336</v>
      </c>
      <c r="F301" s="258">
        <f t="shared" si="34"/>
        <v>27.52</v>
      </c>
      <c r="G301" s="258">
        <f t="shared" si="34"/>
        <v>3.44</v>
      </c>
      <c r="K301">
        <f t="shared" si="31"/>
        <v>2</v>
      </c>
      <c r="L301">
        <f t="shared" si="32"/>
        <v>0.8</v>
      </c>
    </row>
    <row r="302" spans="1:12" x14ac:dyDescent="0.25">
      <c r="A302">
        <f t="shared" si="29"/>
        <v>12.291666666666666</v>
      </c>
      <c r="C302" s="262">
        <v>295</v>
      </c>
      <c r="D302" s="266">
        <f t="shared" si="33"/>
        <v>247162.43226772707</v>
      </c>
      <c r="E302" s="258">
        <f t="shared" si="34"/>
        <v>336</v>
      </c>
      <c r="F302" s="258">
        <f t="shared" si="34"/>
        <v>27.52</v>
      </c>
      <c r="G302" s="258">
        <f t="shared" si="34"/>
        <v>3.44</v>
      </c>
      <c r="K302">
        <f t="shared" si="31"/>
        <v>2</v>
      </c>
      <c r="L302">
        <f t="shared" si="32"/>
        <v>0.8</v>
      </c>
    </row>
    <row r="303" spans="1:12" x14ac:dyDescent="0.25">
      <c r="A303">
        <f t="shared" si="29"/>
        <v>12.333333333333334</v>
      </c>
      <c r="C303" s="262">
        <v>296</v>
      </c>
      <c r="D303" s="266">
        <f t="shared" si="33"/>
        <v>269835.4055126718</v>
      </c>
      <c r="E303" s="258">
        <f t="shared" si="34"/>
        <v>336</v>
      </c>
      <c r="F303" s="258">
        <f t="shared" si="34"/>
        <v>27.52</v>
      </c>
      <c r="G303" s="258">
        <f t="shared" si="34"/>
        <v>3.44</v>
      </c>
      <c r="K303">
        <f t="shared" si="31"/>
        <v>2</v>
      </c>
      <c r="L303">
        <f t="shared" si="32"/>
        <v>0.8</v>
      </c>
    </row>
    <row r="304" spans="1:12" x14ac:dyDescent="0.25">
      <c r="A304">
        <f t="shared" si="29"/>
        <v>12.375</v>
      </c>
      <c r="C304" s="262">
        <v>297</v>
      </c>
      <c r="D304" s="266">
        <f t="shared" si="33"/>
        <v>291677.09809286549</v>
      </c>
      <c r="E304" s="258">
        <f t="shared" si="34"/>
        <v>336</v>
      </c>
      <c r="F304" s="258">
        <f t="shared" si="34"/>
        <v>27.52</v>
      </c>
      <c r="G304" s="258">
        <f t="shared" si="34"/>
        <v>3.44</v>
      </c>
      <c r="K304">
        <f t="shared" si="31"/>
        <v>2</v>
      </c>
      <c r="L304">
        <f t="shared" si="32"/>
        <v>0.8</v>
      </c>
    </row>
    <row r="305" spans="1:14" x14ac:dyDescent="0.25">
      <c r="A305">
        <f t="shared" si="29"/>
        <v>12.416666666666666</v>
      </c>
      <c r="C305" s="262">
        <v>298</v>
      </c>
      <c r="D305" s="266">
        <f t="shared" si="33"/>
        <v>308907.7240322188</v>
      </c>
      <c r="E305" s="258">
        <f t="shared" si="34"/>
        <v>336</v>
      </c>
      <c r="F305" s="258">
        <f t="shared" si="34"/>
        <v>27.52</v>
      </c>
      <c r="G305" s="258">
        <f t="shared" si="34"/>
        <v>3.44</v>
      </c>
      <c r="K305">
        <f t="shared" si="31"/>
        <v>2</v>
      </c>
      <c r="L305">
        <f t="shared" si="32"/>
        <v>0.8</v>
      </c>
    </row>
    <row r="306" spans="1:14" x14ac:dyDescent="0.25">
      <c r="A306">
        <f t="shared" si="29"/>
        <v>12.458333333333334</v>
      </c>
      <c r="C306" s="262">
        <v>299</v>
      </c>
      <c r="D306" s="266">
        <f t="shared" si="33"/>
        <v>318972.2852535079</v>
      </c>
      <c r="E306" s="258">
        <f t="shared" si="34"/>
        <v>336</v>
      </c>
      <c r="F306" s="258">
        <f t="shared" si="34"/>
        <v>27.52</v>
      </c>
      <c r="G306" s="258">
        <f t="shared" si="34"/>
        <v>3.44</v>
      </c>
      <c r="K306">
        <f t="shared" si="31"/>
        <v>2</v>
      </c>
      <c r="L306">
        <f t="shared" si="32"/>
        <v>0.8</v>
      </c>
    </row>
    <row r="307" spans="1:14" x14ac:dyDescent="0.25">
      <c r="A307">
        <f t="shared" si="29"/>
        <v>12.5</v>
      </c>
      <c r="C307" s="262">
        <v>300</v>
      </c>
      <c r="D307" s="266">
        <f t="shared" si="33"/>
        <v>321084.6638396784</v>
      </c>
      <c r="E307" s="258">
        <f t="shared" si="34"/>
        <v>336</v>
      </c>
      <c r="F307" s="258">
        <f t="shared" si="34"/>
        <v>27.52</v>
      </c>
      <c r="G307" s="258">
        <f t="shared" si="34"/>
        <v>3.44</v>
      </c>
      <c r="K307">
        <f t="shared" si="31"/>
        <v>2</v>
      </c>
      <c r="L307">
        <f t="shared" si="32"/>
        <v>0.8</v>
      </c>
    </row>
    <row r="308" spans="1:14" x14ac:dyDescent="0.25">
      <c r="A308">
        <f t="shared" si="29"/>
        <v>12.541666666666666</v>
      </c>
      <c r="C308" s="262">
        <v>301</v>
      </c>
      <c r="D308" s="266">
        <f t="shared" si="33"/>
        <v>316308.05247830477</v>
      </c>
      <c r="E308" s="258">
        <f t="shared" si="34"/>
        <v>336</v>
      </c>
      <c r="F308" s="258">
        <f t="shared" si="34"/>
        <v>27.52</v>
      </c>
      <c r="G308" s="258">
        <f t="shared" si="34"/>
        <v>3.44</v>
      </c>
      <c r="K308">
        <f t="shared" si="31"/>
        <v>2</v>
      </c>
      <c r="L308">
        <f t="shared" si="32"/>
        <v>0.8</v>
      </c>
    </row>
    <row r="309" spans="1:14" x14ac:dyDescent="0.25">
      <c r="A309">
        <f t="shared" si="29"/>
        <v>12.583333333333334</v>
      </c>
      <c r="C309" s="262">
        <v>302</v>
      </c>
      <c r="D309" s="266">
        <f t="shared" si="33"/>
        <v>307159.04535949661</v>
      </c>
      <c r="E309" s="258">
        <f t="shared" si="34"/>
        <v>336</v>
      </c>
      <c r="F309" s="258">
        <f t="shared" si="34"/>
        <v>27.52</v>
      </c>
      <c r="G309" s="258">
        <f t="shared" si="34"/>
        <v>3.44</v>
      </c>
      <c r="K309">
        <f t="shared" si="31"/>
        <v>2</v>
      </c>
      <c r="L309">
        <f t="shared" si="32"/>
        <v>0.8</v>
      </c>
    </row>
    <row r="310" spans="1:14" x14ac:dyDescent="0.25">
      <c r="A310">
        <f t="shared" si="29"/>
        <v>12.625</v>
      </c>
      <c r="C310" s="262">
        <v>303</v>
      </c>
      <c r="D310" s="266">
        <f t="shared" si="33"/>
        <v>296849.03939071536</v>
      </c>
      <c r="E310" s="258">
        <f t="shared" si="34"/>
        <v>336</v>
      </c>
      <c r="F310" s="258">
        <f t="shared" si="34"/>
        <v>27.52</v>
      </c>
      <c r="G310" s="258">
        <f t="shared" si="34"/>
        <v>3.44</v>
      </c>
      <c r="K310">
        <f t="shared" si="31"/>
        <v>2</v>
      </c>
      <c r="L310">
        <f t="shared" si="32"/>
        <v>0.8</v>
      </c>
    </row>
    <row r="311" spans="1:14" x14ac:dyDescent="0.25">
      <c r="A311">
        <f t="shared" si="29"/>
        <v>12.666666666666666</v>
      </c>
      <c r="C311" s="262">
        <v>304</v>
      </c>
      <c r="D311" s="266">
        <f t="shared" si="33"/>
        <v>288371.95516249607</v>
      </c>
      <c r="E311" s="258">
        <f t="shared" si="34"/>
        <v>336</v>
      </c>
      <c r="F311" s="258">
        <f t="shared" si="34"/>
        <v>27.52</v>
      </c>
      <c r="G311" s="258">
        <f t="shared" si="34"/>
        <v>3.44</v>
      </c>
      <c r="K311">
        <f t="shared" si="31"/>
        <v>2</v>
      </c>
      <c r="L311">
        <f t="shared" si="32"/>
        <v>0.8</v>
      </c>
    </row>
    <row r="312" spans="1:14" x14ac:dyDescent="0.25">
      <c r="A312">
        <f t="shared" si="29"/>
        <v>12.708333333333334</v>
      </c>
      <c r="C312" s="262">
        <v>305</v>
      </c>
      <c r="D312" s="266">
        <f t="shared" si="33"/>
        <v>283686.25135036034</v>
      </c>
      <c r="E312" s="258">
        <f t="shared" si="34"/>
        <v>336</v>
      </c>
      <c r="F312" s="258">
        <f t="shared" si="34"/>
        <v>27.52</v>
      </c>
      <c r="G312" s="258">
        <f t="shared" si="34"/>
        <v>3.44</v>
      </c>
      <c r="K312">
        <f t="shared" si="31"/>
        <v>2</v>
      </c>
      <c r="L312">
        <f t="shared" si="32"/>
        <v>0.8</v>
      </c>
    </row>
    <row r="313" spans="1:14" x14ac:dyDescent="0.25">
      <c r="A313">
        <f t="shared" si="29"/>
        <v>12.75</v>
      </c>
      <c r="C313" s="262">
        <v>306</v>
      </c>
      <c r="D313" s="266">
        <f t="shared" si="33"/>
        <v>283211.48562791094</v>
      </c>
      <c r="E313" s="258">
        <f t="shared" si="34"/>
        <v>336</v>
      </c>
      <c r="F313" s="258">
        <f t="shared" si="34"/>
        <v>27.52</v>
      </c>
      <c r="G313" s="258">
        <f t="shared" si="34"/>
        <v>3.44</v>
      </c>
      <c r="K313">
        <f t="shared" si="31"/>
        <v>2</v>
      </c>
      <c r="L313">
        <f t="shared" si="32"/>
        <v>0.8</v>
      </c>
    </row>
    <row r="314" spans="1:14" x14ac:dyDescent="0.25">
      <c r="A314">
        <f t="shared" si="29"/>
        <v>12.791666666666666</v>
      </c>
      <c r="C314" s="262">
        <v>307</v>
      </c>
      <c r="D314" s="266">
        <f t="shared" si="33"/>
        <v>285772.8646971939</v>
      </c>
      <c r="E314" s="258">
        <f t="shared" si="34"/>
        <v>336</v>
      </c>
      <c r="F314" s="258">
        <f t="shared" si="34"/>
        <v>27.52</v>
      </c>
      <c r="G314" s="258">
        <f t="shared" si="34"/>
        <v>3.44</v>
      </c>
      <c r="K314">
        <f t="shared" si="31"/>
        <v>2</v>
      </c>
      <c r="L314">
        <f t="shared" si="32"/>
        <v>0.8</v>
      </c>
    </row>
    <row r="315" spans="1:14" x14ac:dyDescent="0.25">
      <c r="A315">
        <f t="shared" si="29"/>
        <v>12.833333333333334</v>
      </c>
      <c r="C315" s="262">
        <v>308</v>
      </c>
      <c r="D315" s="266">
        <f t="shared" si="33"/>
        <v>289004.75878796127</v>
      </c>
      <c r="E315" s="258">
        <f t="shared" si="34"/>
        <v>336</v>
      </c>
      <c r="F315" s="258">
        <f t="shared" si="34"/>
        <v>27.52</v>
      </c>
      <c r="G315" s="258">
        <f t="shared" si="34"/>
        <v>3.44</v>
      </c>
      <c r="K315">
        <f t="shared" si="31"/>
        <v>2</v>
      </c>
      <c r="L315">
        <f t="shared" si="32"/>
        <v>0.8</v>
      </c>
    </row>
    <row r="316" spans="1:14" x14ac:dyDescent="0.25">
      <c r="A316">
        <f t="shared" si="29"/>
        <v>12.875</v>
      </c>
      <c r="C316" s="262">
        <v>309</v>
      </c>
      <c r="D316" s="266">
        <f t="shared" si="33"/>
        <v>290099.01246712072</v>
      </c>
      <c r="E316" s="258">
        <f t="shared" si="34"/>
        <v>336</v>
      </c>
      <c r="F316" s="258">
        <f t="shared" si="34"/>
        <v>27.52</v>
      </c>
      <c r="G316" s="258">
        <f t="shared" si="34"/>
        <v>3.44</v>
      </c>
      <c r="K316">
        <f t="shared" si="31"/>
        <v>2</v>
      </c>
      <c r="L316">
        <f t="shared" si="32"/>
        <v>0.8</v>
      </c>
    </row>
    <row r="317" spans="1:14" x14ac:dyDescent="0.25">
      <c r="A317">
        <f t="shared" si="29"/>
        <v>12.916666666666666</v>
      </c>
      <c r="C317" s="262">
        <v>310</v>
      </c>
      <c r="D317" s="266">
        <f t="shared" si="33"/>
        <v>286689.7434329245</v>
      </c>
      <c r="E317" s="258">
        <f t="shared" si="34"/>
        <v>336</v>
      </c>
      <c r="F317" s="258">
        <f t="shared" si="34"/>
        <v>27.52</v>
      </c>
      <c r="G317" s="258">
        <f t="shared" si="34"/>
        <v>3.44</v>
      </c>
      <c r="K317">
        <f t="shared" si="31"/>
        <v>2</v>
      </c>
      <c r="L317">
        <f t="shared" si="32"/>
        <v>0.8</v>
      </c>
    </row>
    <row r="318" spans="1:14" x14ac:dyDescent="0.25">
      <c r="A318">
        <f t="shared" si="29"/>
        <v>12.958333333333334</v>
      </c>
      <c r="C318" s="262">
        <v>311</v>
      </c>
      <c r="D318" s="266">
        <f t="shared" si="33"/>
        <v>277628.52834155707</v>
      </c>
      <c r="E318" s="258">
        <f t="shared" si="34"/>
        <v>336</v>
      </c>
      <c r="F318" s="258">
        <f t="shared" si="34"/>
        <v>27.52</v>
      </c>
      <c r="G318" s="258">
        <f t="shared" si="34"/>
        <v>3.44</v>
      </c>
      <c r="K318">
        <f t="shared" si="31"/>
        <v>2</v>
      </c>
      <c r="L318">
        <f t="shared" si="32"/>
        <v>0.8</v>
      </c>
    </row>
    <row r="319" spans="1:14" x14ac:dyDescent="0.25">
      <c r="A319">
        <f t="shared" si="29"/>
        <v>13</v>
      </c>
      <c r="C319" s="260">
        <v>312</v>
      </c>
      <c r="D319" s="261">
        <f>D7*K319</f>
        <v>131716.31966241612</v>
      </c>
      <c r="E319" s="257">
        <f t="shared" si="34"/>
        <v>420</v>
      </c>
      <c r="F319" s="257">
        <f t="shared" si="34"/>
        <v>34.4</v>
      </c>
      <c r="G319" s="257">
        <f t="shared" si="34"/>
        <v>4.3</v>
      </c>
      <c r="K319">
        <f>$T$20</f>
        <v>1</v>
      </c>
      <c r="L319">
        <f>$U$20</f>
        <v>1</v>
      </c>
      <c r="N319" t="s">
        <v>324</v>
      </c>
    </row>
    <row r="320" spans="1:14" x14ac:dyDescent="0.25">
      <c r="A320">
        <f t="shared" si="29"/>
        <v>13.041666666666666</v>
      </c>
      <c r="C320" s="260">
        <v>313</v>
      </c>
      <c r="D320" s="261">
        <f t="shared" ref="D320:D383" si="35">D8*K320</f>
        <v>123138.32527838717</v>
      </c>
      <c r="E320" s="257">
        <f t="shared" si="34"/>
        <v>420</v>
      </c>
      <c r="F320" s="257">
        <f t="shared" si="34"/>
        <v>34.4</v>
      </c>
      <c r="G320" s="257">
        <f t="shared" si="34"/>
        <v>4.3</v>
      </c>
      <c r="K320">
        <f t="shared" ref="K320:K383" si="36">$T$20</f>
        <v>1</v>
      </c>
      <c r="L320">
        <f t="shared" ref="L320:L383" si="37">$U$20</f>
        <v>1</v>
      </c>
    </row>
    <row r="321" spans="1:12" x14ac:dyDescent="0.25">
      <c r="A321">
        <f t="shared" si="29"/>
        <v>13.083333333333334</v>
      </c>
      <c r="C321" s="260">
        <v>314</v>
      </c>
      <c r="D321" s="261">
        <f t="shared" si="35"/>
        <v>114760.39516993523</v>
      </c>
      <c r="E321" s="257">
        <f t="shared" si="34"/>
        <v>420</v>
      </c>
      <c r="F321" s="257">
        <f t="shared" si="34"/>
        <v>34.4</v>
      </c>
      <c r="G321" s="257">
        <f t="shared" si="34"/>
        <v>4.3</v>
      </c>
      <c r="K321">
        <f t="shared" si="36"/>
        <v>1</v>
      </c>
      <c r="L321">
        <f t="shared" si="37"/>
        <v>1</v>
      </c>
    </row>
    <row r="322" spans="1:12" x14ac:dyDescent="0.25">
      <c r="A322">
        <f t="shared" si="29"/>
        <v>13.125</v>
      </c>
      <c r="C322" s="260">
        <v>315</v>
      </c>
      <c r="D322" s="261">
        <f t="shared" si="35"/>
        <v>108447.42502464916</v>
      </c>
      <c r="E322" s="257">
        <f t="shared" si="34"/>
        <v>420</v>
      </c>
      <c r="F322" s="257">
        <f t="shared" si="34"/>
        <v>34.4</v>
      </c>
      <c r="G322" s="257">
        <f t="shared" si="34"/>
        <v>4.3</v>
      </c>
      <c r="K322">
        <f t="shared" si="36"/>
        <v>1</v>
      </c>
      <c r="L322">
        <f t="shared" si="37"/>
        <v>1</v>
      </c>
    </row>
    <row r="323" spans="1:12" x14ac:dyDescent="0.25">
      <c r="A323">
        <f t="shared" si="29"/>
        <v>13.166666666666666</v>
      </c>
      <c r="C323" s="260">
        <v>316</v>
      </c>
      <c r="D323" s="261">
        <f t="shared" si="35"/>
        <v>105775.28868618018</v>
      </c>
      <c r="E323" s="257">
        <f t="shared" si="34"/>
        <v>420</v>
      </c>
      <c r="F323" s="257">
        <f t="shared" si="34"/>
        <v>34.4</v>
      </c>
      <c r="G323" s="257">
        <f t="shared" si="34"/>
        <v>4.3</v>
      </c>
      <c r="K323">
        <f t="shared" si="36"/>
        <v>1</v>
      </c>
      <c r="L323">
        <f t="shared" si="37"/>
        <v>1</v>
      </c>
    </row>
    <row r="324" spans="1:12" x14ac:dyDescent="0.25">
      <c r="A324">
        <f t="shared" si="29"/>
        <v>13.208333333333334</v>
      </c>
      <c r="C324" s="260">
        <v>317</v>
      </c>
      <c r="D324" s="261">
        <f t="shared" si="35"/>
        <v>107616.46752728715</v>
      </c>
      <c r="E324" s="257">
        <f t="shared" si="34"/>
        <v>420</v>
      </c>
      <c r="F324" s="257">
        <f t="shared" si="34"/>
        <v>34.4</v>
      </c>
      <c r="G324" s="257">
        <f t="shared" si="34"/>
        <v>4.3</v>
      </c>
      <c r="K324">
        <f t="shared" si="36"/>
        <v>1</v>
      </c>
      <c r="L324">
        <f t="shared" si="37"/>
        <v>1</v>
      </c>
    </row>
    <row r="325" spans="1:12" x14ac:dyDescent="0.25">
      <c r="A325">
        <f t="shared" si="29"/>
        <v>13.25</v>
      </c>
      <c r="C325" s="260">
        <v>318</v>
      </c>
      <c r="D325" s="261">
        <f t="shared" si="35"/>
        <v>113895.6056037893</v>
      </c>
      <c r="E325" s="257">
        <f t="shared" si="34"/>
        <v>420</v>
      </c>
      <c r="F325" s="257">
        <f t="shared" si="34"/>
        <v>34.4</v>
      </c>
      <c r="G325" s="257">
        <f t="shared" si="34"/>
        <v>4.3</v>
      </c>
      <c r="K325">
        <f t="shared" si="36"/>
        <v>1</v>
      </c>
      <c r="L325">
        <f t="shared" si="37"/>
        <v>1</v>
      </c>
    </row>
    <row r="326" spans="1:12" x14ac:dyDescent="0.25">
      <c r="A326">
        <f t="shared" si="29"/>
        <v>13.291666666666666</v>
      </c>
      <c r="C326" s="260">
        <v>319</v>
      </c>
      <c r="D326" s="261">
        <f t="shared" si="35"/>
        <v>123581.21613386353</v>
      </c>
      <c r="E326" s="257">
        <f t="shared" si="34"/>
        <v>420</v>
      </c>
      <c r="F326" s="257">
        <f t="shared" si="34"/>
        <v>34.4</v>
      </c>
      <c r="G326" s="257">
        <f t="shared" si="34"/>
        <v>4.3</v>
      </c>
      <c r="K326">
        <f t="shared" si="36"/>
        <v>1</v>
      </c>
      <c r="L326">
        <f t="shared" si="37"/>
        <v>1</v>
      </c>
    </row>
    <row r="327" spans="1:12" x14ac:dyDescent="0.25">
      <c r="A327">
        <f t="shared" si="29"/>
        <v>13.333333333333334</v>
      </c>
      <c r="C327" s="260">
        <v>320</v>
      </c>
      <c r="D327" s="261">
        <f t="shared" si="35"/>
        <v>134917.7027563359</v>
      </c>
      <c r="E327" s="257">
        <f t="shared" si="34"/>
        <v>420</v>
      </c>
      <c r="F327" s="257">
        <f t="shared" si="34"/>
        <v>34.4</v>
      </c>
      <c r="G327" s="257">
        <f t="shared" si="34"/>
        <v>4.3</v>
      </c>
      <c r="K327">
        <f t="shared" si="36"/>
        <v>1</v>
      </c>
      <c r="L327">
        <f t="shared" si="37"/>
        <v>1</v>
      </c>
    </row>
    <row r="328" spans="1:12" x14ac:dyDescent="0.25">
      <c r="A328">
        <f t="shared" ref="A328:A390" si="38">C328/24</f>
        <v>13.375</v>
      </c>
      <c r="C328" s="260">
        <v>321</v>
      </c>
      <c r="D328" s="261">
        <f t="shared" si="35"/>
        <v>145838.54904643274</v>
      </c>
      <c r="E328" s="257">
        <f t="shared" si="34"/>
        <v>420</v>
      </c>
      <c r="F328" s="257">
        <f t="shared" si="34"/>
        <v>34.4</v>
      </c>
      <c r="G328" s="257">
        <f t="shared" si="34"/>
        <v>4.3</v>
      </c>
      <c r="K328">
        <f t="shared" si="36"/>
        <v>1</v>
      </c>
      <c r="L328">
        <f t="shared" si="37"/>
        <v>1</v>
      </c>
    </row>
    <row r="329" spans="1:12" x14ac:dyDescent="0.25">
      <c r="A329">
        <f t="shared" si="38"/>
        <v>13.416666666666666</v>
      </c>
      <c r="C329" s="260">
        <v>322</v>
      </c>
      <c r="D329" s="261">
        <f t="shared" si="35"/>
        <v>154453.8620161094</v>
      </c>
      <c r="E329" s="257">
        <f t="shared" si="34"/>
        <v>420</v>
      </c>
      <c r="F329" s="257">
        <f t="shared" si="34"/>
        <v>34.4</v>
      </c>
      <c r="G329" s="257">
        <f t="shared" si="34"/>
        <v>4.3</v>
      </c>
      <c r="K329">
        <f t="shared" si="36"/>
        <v>1</v>
      </c>
      <c r="L329">
        <f t="shared" si="37"/>
        <v>1</v>
      </c>
    </row>
    <row r="330" spans="1:12" x14ac:dyDescent="0.25">
      <c r="A330">
        <f t="shared" si="38"/>
        <v>13.458333333333334</v>
      </c>
      <c r="C330" s="260">
        <v>323</v>
      </c>
      <c r="D330" s="261">
        <f t="shared" si="35"/>
        <v>159486.14262675395</v>
      </c>
      <c r="E330" s="257">
        <f t="shared" si="34"/>
        <v>420</v>
      </c>
      <c r="F330" s="257">
        <f t="shared" si="34"/>
        <v>34.4</v>
      </c>
      <c r="G330" s="257">
        <f t="shared" si="34"/>
        <v>4.3</v>
      </c>
      <c r="K330">
        <f t="shared" si="36"/>
        <v>1</v>
      </c>
      <c r="L330">
        <f t="shared" si="37"/>
        <v>1</v>
      </c>
    </row>
    <row r="331" spans="1:12" x14ac:dyDescent="0.25">
      <c r="A331">
        <f t="shared" si="38"/>
        <v>13.5</v>
      </c>
      <c r="C331" s="260">
        <v>324</v>
      </c>
      <c r="D331" s="261">
        <f t="shared" si="35"/>
        <v>160542.3319198392</v>
      </c>
      <c r="E331" s="257">
        <f t="shared" si="34"/>
        <v>420</v>
      </c>
      <c r="F331" s="257">
        <f t="shared" si="34"/>
        <v>34.4</v>
      </c>
      <c r="G331" s="257">
        <f t="shared" si="34"/>
        <v>4.3</v>
      </c>
      <c r="K331">
        <f t="shared" si="36"/>
        <v>1</v>
      </c>
      <c r="L331">
        <f t="shared" si="37"/>
        <v>1</v>
      </c>
    </row>
    <row r="332" spans="1:12" x14ac:dyDescent="0.25">
      <c r="A332">
        <f t="shared" si="38"/>
        <v>13.541666666666666</v>
      </c>
      <c r="C332" s="260">
        <v>325</v>
      </c>
      <c r="D332" s="261">
        <f t="shared" si="35"/>
        <v>158154.02623915239</v>
      </c>
      <c r="E332" s="257">
        <f t="shared" si="34"/>
        <v>420</v>
      </c>
      <c r="F332" s="257">
        <f t="shared" si="34"/>
        <v>34.4</v>
      </c>
      <c r="G332" s="257">
        <f t="shared" si="34"/>
        <v>4.3</v>
      </c>
      <c r="K332">
        <f t="shared" si="36"/>
        <v>1</v>
      </c>
      <c r="L332">
        <f t="shared" si="37"/>
        <v>1</v>
      </c>
    </row>
    <row r="333" spans="1:12" x14ac:dyDescent="0.25">
      <c r="A333">
        <f t="shared" si="38"/>
        <v>13.583333333333334</v>
      </c>
      <c r="C333" s="260">
        <v>326</v>
      </c>
      <c r="D333" s="261">
        <f t="shared" si="35"/>
        <v>153579.5226797483</v>
      </c>
      <c r="E333" s="257">
        <f t="shared" si="34"/>
        <v>420</v>
      </c>
      <c r="F333" s="257">
        <f t="shared" si="34"/>
        <v>34.4</v>
      </c>
      <c r="G333" s="257">
        <f t="shared" si="34"/>
        <v>4.3</v>
      </c>
      <c r="K333">
        <f t="shared" si="36"/>
        <v>1</v>
      </c>
      <c r="L333">
        <f t="shared" si="37"/>
        <v>1</v>
      </c>
    </row>
    <row r="334" spans="1:12" x14ac:dyDescent="0.25">
      <c r="A334">
        <f t="shared" si="38"/>
        <v>13.625</v>
      </c>
      <c r="C334" s="260">
        <v>327</v>
      </c>
      <c r="D334" s="261">
        <f t="shared" si="35"/>
        <v>148424.51969535768</v>
      </c>
      <c r="E334" s="257">
        <f t="shared" si="34"/>
        <v>420</v>
      </c>
      <c r="F334" s="257">
        <f t="shared" si="34"/>
        <v>34.4</v>
      </c>
      <c r="G334" s="257">
        <f t="shared" si="34"/>
        <v>4.3</v>
      </c>
      <c r="K334">
        <f t="shared" si="36"/>
        <v>1</v>
      </c>
      <c r="L334">
        <f t="shared" si="37"/>
        <v>1</v>
      </c>
    </row>
    <row r="335" spans="1:12" x14ac:dyDescent="0.25">
      <c r="A335">
        <f t="shared" si="38"/>
        <v>13.666666666666666</v>
      </c>
      <c r="C335" s="260">
        <v>328</v>
      </c>
      <c r="D335" s="261">
        <f t="shared" si="35"/>
        <v>144185.97758124804</v>
      </c>
      <c r="E335" s="257">
        <f t="shared" si="34"/>
        <v>420</v>
      </c>
      <c r="F335" s="257">
        <f t="shared" si="34"/>
        <v>34.4</v>
      </c>
      <c r="G335" s="257">
        <f t="shared" si="34"/>
        <v>4.3</v>
      </c>
      <c r="K335">
        <f t="shared" si="36"/>
        <v>1</v>
      </c>
      <c r="L335">
        <f t="shared" si="37"/>
        <v>1</v>
      </c>
    </row>
    <row r="336" spans="1:12" x14ac:dyDescent="0.25">
      <c r="A336">
        <f t="shared" si="38"/>
        <v>13.708333333333334</v>
      </c>
      <c r="C336" s="260">
        <v>329</v>
      </c>
      <c r="D336" s="261">
        <f t="shared" si="35"/>
        <v>141843.12567518017</v>
      </c>
      <c r="E336" s="257">
        <f t="shared" si="34"/>
        <v>420</v>
      </c>
      <c r="F336" s="257">
        <f t="shared" si="34"/>
        <v>34.4</v>
      </c>
      <c r="G336" s="257">
        <f t="shared" si="34"/>
        <v>4.3</v>
      </c>
      <c r="K336">
        <f t="shared" si="36"/>
        <v>1</v>
      </c>
      <c r="L336">
        <f t="shared" si="37"/>
        <v>1</v>
      </c>
    </row>
    <row r="337" spans="1:12" x14ac:dyDescent="0.25">
      <c r="A337">
        <f t="shared" si="38"/>
        <v>13.75</v>
      </c>
      <c r="C337" s="260">
        <v>330</v>
      </c>
      <c r="D337" s="261">
        <f t="shared" si="35"/>
        <v>141605.74281395547</v>
      </c>
      <c r="E337" s="257">
        <f t="shared" si="34"/>
        <v>420</v>
      </c>
      <c r="F337" s="257">
        <f t="shared" si="34"/>
        <v>34.4</v>
      </c>
      <c r="G337" s="257">
        <f t="shared" si="34"/>
        <v>4.3</v>
      </c>
      <c r="K337">
        <f t="shared" si="36"/>
        <v>1</v>
      </c>
      <c r="L337">
        <f t="shared" si="37"/>
        <v>1</v>
      </c>
    </row>
    <row r="338" spans="1:12" x14ac:dyDescent="0.25">
      <c r="A338">
        <f t="shared" si="38"/>
        <v>13.791666666666666</v>
      </c>
      <c r="C338" s="260">
        <v>331</v>
      </c>
      <c r="D338" s="261">
        <f t="shared" si="35"/>
        <v>142886.43234859695</v>
      </c>
      <c r="E338" s="257">
        <f t="shared" si="34"/>
        <v>420</v>
      </c>
      <c r="F338" s="257">
        <f t="shared" si="34"/>
        <v>34.4</v>
      </c>
      <c r="G338" s="257">
        <f t="shared" si="34"/>
        <v>4.3</v>
      </c>
      <c r="K338">
        <f t="shared" si="36"/>
        <v>1</v>
      </c>
      <c r="L338">
        <f t="shared" si="37"/>
        <v>1</v>
      </c>
    </row>
    <row r="339" spans="1:12" x14ac:dyDescent="0.25">
      <c r="A339">
        <f t="shared" si="38"/>
        <v>13.833333333333334</v>
      </c>
      <c r="C339" s="260">
        <v>332</v>
      </c>
      <c r="D339" s="261">
        <f t="shared" si="35"/>
        <v>144502.37939398063</v>
      </c>
      <c r="E339" s="257">
        <f t="shared" si="34"/>
        <v>420</v>
      </c>
      <c r="F339" s="257">
        <f t="shared" si="34"/>
        <v>34.4</v>
      </c>
      <c r="G339" s="257">
        <f t="shared" si="34"/>
        <v>4.3</v>
      </c>
      <c r="K339">
        <f t="shared" si="36"/>
        <v>1</v>
      </c>
      <c r="L339">
        <f t="shared" si="37"/>
        <v>1</v>
      </c>
    </row>
    <row r="340" spans="1:12" x14ac:dyDescent="0.25">
      <c r="A340">
        <f t="shared" si="38"/>
        <v>13.875</v>
      </c>
      <c r="C340" s="260">
        <v>333</v>
      </c>
      <c r="D340" s="261">
        <f t="shared" si="35"/>
        <v>145049.50623356036</v>
      </c>
      <c r="E340" s="257">
        <f t="shared" si="34"/>
        <v>420</v>
      </c>
      <c r="F340" s="257">
        <f t="shared" si="34"/>
        <v>34.4</v>
      </c>
      <c r="G340" s="257">
        <f t="shared" si="34"/>
        <v>4.3</v>
      </c>
      <c r="K340">
        <f t="shared" si="36"/>
        <v>1</v>
      </c>
      <c r="L340">
        <f t="shared" si="37"/>
        <v>1</v>
      </c>
    </row>
    <row r="341" spans="1:12" x14ac:dyDescent="0.25">
      <c r="A341">
        <f t="shared" si="38"/>
        <v>13.916666666666666</v>
      </c>
      <c r="C341" s="260">
        <v>334</v>
      </c>
      <c r="D341" s="261">
        <f t="shared" si="35"/>
        <v>143344.87171646225</v>
      </c>
      <c r="E341" s="257">
        <f t="shared" si="34"/>
        <v>420</v>
      </c>
      <c r="F341" s="257">
        <f t="shared" si="34"/>
        <v>34.4</v>
      </c>
      <c r="G341" s="257">
        <f t="shared" si="34"/>
        <v>4.3</v>
      </c>
      <c r="K341">
        <f t="shared" si="36"/>
        <v>1</v>
      </c>
      <c r="L341">
        <f t="shared" si="37"/>
        <v>1</v>
      </c>
    </row>
    <row r="342" spans="1:12" x14ac:dyDescent="0.25">
      <c r="A342">
        <f t="shared" si="38"/>
        <v>13.958333333333334</v>
      </c>
      <c r="C342" s="260">
        <v>335</v>
      </c>
      <c r="D342" s="261">
        <f t="shared" si="35"/>
        <v>138814.26417077854</v>
      </c>
      <c r="E342" s="257">
        <f t="shared" si="34"/>
        <v>420</v>
      </c>
      <c r="F342" s="257">
        <f t="shared" si="34"/>
        <v>34.4</v>
      </c>
      <c r="G342" s="257">
        <f t="shared" si="34"/>
        <v>4.3</v>
      </c>
      <c r="K342">
        <f t="shared" si="36"/>
        <v>1</v>
      </c>
      <c r="L342">
        <f t="shared" si="37"/>
        <v>1</v>
      </c>
    </row>
    <row r="343" spans="1:12" x14ac:dyDescent="0.25">
      <c r="A343">
        <f t="shared" si="38"/>
        <v>14</v>
      </c>
      <c r="C343" s="260">
        <v>336</v>
      </c>
      <c r="D343" s="261">
        <f t="shared" si="35"/>
        <v>131716.31966241612</v>
      </c>
      <c r="E343" s="257">
        <f t="shared" si="34"/>
        <v>420</v>
      </c>
      <c r="F343" s="257">
        <f t="shared" si="34"/>
        <v>34.4</v>
      </c>
      <c r="G343" s="257">
        <f t="shared" si="34"/>
        <v>4.3</v>
      </c>
      <c r="K343">
        <f t="shared" si="36"/>
        <v>1</v>
      </c>
      <c r="L343">
        <f t="shared" si="37"/>
        <v>1</v>
      </c>
    </row>
    <row r="344" spans="1:12" x14ac:dyDescent="0.25">
      <c r="A344">
        <f t="shared" si="38"/>
        <v>14.041666666666666</v>
      </c>
      <c r="C344" s="260">
        <v>337</v>
      </c>
      <c r="D344" s="261">
        <f t="shared" si="35"/>
        <v>123138.32527838717</v>
      </c>
      <c r="E344" s="257">
        <f t="shared" si="34"/>
        <v>420</v>
      </c>
      <c r="F344" s="257">
        <f t="shared" si="34"/>
        <v>34.4</v>
      </c>
      <c r="G344" s="257">
        <f t="shared" si="34"/>
        <v>4.3</v>
      </c>
      <c r="K344">
        <f t="shared" si="36"/>
        <v>1</v>
      </c>
      <c r="L344">
        <f t="shared" si="37"/>
        <v>1</v>
      </c>
    </row>
    <row r="345" spans="1:12" x14ac:dyDescent="0.25">
      <c r="A345">
        <f t="shared" si="38"/>
        <v>14.083333333333334</v>
      </c>
      <c r="C345" s="260">
        <v>338</v>
      </c>
      <c r="D345" s="261">
        <f t="shared" si="35"/>
        <v>114760.39516993523</v>
      </c>
      <c r="E345" s="257">
        <f t="shared" si="34"/>
        <v>420</v>
      </c>
      <c r="F345" s="257">
        <f t="shared" si="34"/>
        <v>34.4</v>
      </c>
      <c r="G345" s="257">
        <f t="shared" si="34"/>
        <v>4.3</v>
      </c>
      <c r="K345">
        <f t="shared" si="36"/>
        <v>1</v>
      </c>
      <c r="L345">
        <f t="shared" si="37"/>
        <v>1</v>
      </c>
    </row>
    <row r="346" spans="1:12" x14ac:dyDescent="0.25">
      <c r="A346">
        <f t="shared" si="38"/>
        <v>14.125</v>
      </c>
      <c r="C346" s="260">
        <v>339</v>
      </c>
      <c r="D346" s="261">
        <f t="shared" si="35"/>
        <v>108447.42502464916</v>
      </c>
      <c r="E346" s="257">
        <f t="shared" si="34"/>
        <v>420</v>
      </c>
      <c r="F346" s="257">
        <f t="shared" si="34"/>
        <v>34.4</v>
      </c>
      <c r="G346" s="257">
        <f t="shared" si="34"/>
        <v>4.3</v>
      </c>
      <c r="K346">
        <f t="shared" si="36"/>
        <v>1</v>
      </c>
      <c r="L346">
        <f t="shared" si="37"/>
        <v>1</v>
      </c>
    </row>
    <row r="347" spans="1:12" x14ac:dyDescent="0.25">
      <c r="A347">
        <f t="shared" si="38"/>
        <v>14.166666666666666</v>
      </c>
      <c r="C347" s="260">
        <v>340</v>
      </c>
      <c r="D347" s="261">
        <f t="shared" si="35"/>
        <v>105775.28868618018</v>
      </c>
      <c r="E347" s="257">
        <f t="shared" si="34"/>
        <v>420</v>
      </c>
      <c r="F347" s="257">
        <f t="shared" si="34"/>
        <v>34.4</v>
      </c>
      <c r="G347" s="257">
        <f t="shared" si="34"/>
        <v>4.3</v>
      </c>
      <c r="K347">
        <f t="shared" si="36"/>
        <v>1</v>
      </c>
      <c r="L347">
        <f t="shared" si="37"/>
        <v>1</v>
      </c>
    </row>
    <row r="348" spans="1:12" x14ac:dyDescent="0.25">
      <c r="A348">
        <f t="shared" si="38"/>
        <v>14.208333333333334</v>
      </c>
      <c r="C348" s="260">
        <v>341</v>
      </c>
      <c r="D348" s="261">
        <f t="shared" si="35"/>
        <v>107616.46752728715</v>
      </c>
      <c r="E348" s="257">
        <f t="shared" si="34"/>
        <v>420</v>
      </c>
      <c r="F348" s="257">
        <f t="shared" si="34"/>
        <v>34.4</v>
      </c>
      <c r="G348" s="257">
        <f t="shared" si="34"/>
        <v>4.3</v>
      </c>
      <c r="K348">
        <f t="shared" si="36"/>
        <v>1</v>
      </c>
      <c r="L348">
        <f t="shared" si="37"/>
        <v>1</v>
      </c>
    </row>
    <row r="349" spans="1:12" x14ac:dyDescent="0.25">
      <c r="A349">
        <f t="shared" si="38"/>
        <v>14.25</v>
      </c>
      <c r="C349" s="260">
        <v>342</v>
      </c>
      <c r="D349" s="261">
        <f t="shared" si="35"/>
        <v>113895.6056037893</v>
      </c>
      <c r="E349" s="257">
        <f t="shared" si="34"/>
        <v>420</v>
      </c>
      <c r="F349" s="257">
        <f t="shared" si="34"/>
        <v>34.4</v>
      </c>
      <c r="G349" s="257">
        <f t="shared" si="34"/>
        <v>4.3</v>
      </c>
      <c r="K349">
        <f t="shared" si="36"/>
        <v>1</v>
      </c>
      <c r="L349">
        <f t="shared" si="37"/>
        <v>1</v>
      </c>
    </row>
    <row r="350" spans="1:12" x14ac:dyDescent="0.25">
      <c r="A350">
        <f t="shared" si="38"/>
        <v>14.291666666666666</v>
      </c>
      <c r="C350" s="260">
        <v>343</v>
      </c>
      <c r="D350" s="261">
        <f t="shared" si="35"/>
        <v>123581.21613386353</v>
      </c>
      <c r="E350" s="257">
        <f t="shared" si="34"/>
        <v>420</v>
      </c>
      <c r="F350" s="257">
        <f t="shared" si="34"/>
        <v>34.4</v>
      </c>
      <c r="G350" s="257">
        <f t="shared" si="34"/>
        <v>4.3</v>
      </c>
      <c r="K350">
        <f t="shared" si="36"/>
        <v>1</v>
      </c>
      <c r="L350">
        <f t="shared" si="37"/>
        <v>1</v>
      </c>
    </row>
    <row r="351" spans="1:12" x14ac:dyDescent="0.25">
      <c r="A351">
        <f t="shared" si="38"/>
        <v>14.333333333333334</v>
      </c>
      <c r="C351" s="260">
        <v>344</v>
      </c>
      <c r="D351" s="261">
        <f t="shared" si="35"/>
        <v>134917.7027563359</v>
      </c>
      <c r="E351" s="257">
        <f t="shared" si="34"/>
        <v>420</v>
      </c>
      <c r="F351" s="257">
        <f t="shared" si="34"/>
        <v>34.4</v>
      </c>
      <c r="G351" s="257">
        <f t="shared" si="34"/>
        <v>4.3</v>
      </c>
      <c r="K351">
        <f t="shared" si="36"/>
        <v>1</v>
      </c>
      <c r="L351">
        <f t="shared" si="37"/>
        <v>1</v>
      </c>
    </row>
    <row r="352" spans="1:12" x14ac:dyDescent="0.25">
      <c r="A352">
        <f t="shared" si="38"/>
        <v>14.375</v>
      </c>
      <c r="C352" s="260">
        <v>345</v>
      </c>
      <c r="D352" s="261">
        <f t="shared" si="35"/>
        <v>145838.54904643274</v>
      </c>
      <c r="E352" s="257">
        <f t="shared" si="34"/>
        <v>420</v>
      </c>
      <c r="F352" s="257">
        <f t="shared" si="34"/>
        <v>34.4</v>
      </c>
      <c r="G352" s="257">
        <f t="shared" si="34"/>
        <v>4.3</v>
      </c>
      <c r="K352">
        <f t="shared" si="36"/>
        <v>1</v>
      </c>
      <c r="L352">
        <f t="shared" si="37"/>
        <v>1</v>
      </c>
    </row>
    <row r="353" spans="1:12" x14ac:dyDescent="0.25">
      <c r="A353">
        <f t="shared" si="38"/>
        <v>14.416666666666666</v>
      </c>
      <c r="C353" s="260">
        <v>346</v>
      </c>
      <c r="D353" s="261">
        <f t="shared" si="35"/>
        <v>154453.8620161094</v>
      </c>
      <c r="E353" s="257">
        <f t="shared" si="34"/>
        <v>420</v>
      </c>
      <c r="F353" s="257">
        <f t="shared" si="34"/>
        <v>34.4</v>
      </c>
      <c r="G353" s="257">
        <f t="shared" si="34"/>
        <v>4.3</v>
      </c>
      <c r="K353">
        <f t="shared" si="36"/>
        <v>1</v>
      </c>
      <c r="L353">
        <f t="shared" si="37"/>
        <v>1</v>
      </c>
    </row>
    <row r="354" spans="1:12" x14ac:dyDescent="0.25">
      <c r="A354">
        <f t="shared" si="38"/>
        <v>14.458333333333334</v>
      </c>
      <c r="C354" s="260">
        <v>347</v>
      </c>
      <c r="D354" s="261">
        <f t="shared" si="35"/>
        <v>159486.14262675395</v>
      </c>
      <c r="E354" s="257">
        <f t="shared" si="34"/>
        <v>420</v>
      </c>
      <c r="F354" s="257">
        <f t="shared" si="34"/>
        <v>34.4</v>
      </c>
      <c r="G354" s="257">
        <f t="shared" si="34"/>
        <v>4.3</v>
      </c>
      <c r="K354">
        <f t="shared" si="36"/>
        <v>1</v>
      </c>
      <c r="L354">
        <f t="shared" si="37"/>
        <v>1</v>
      </c>
    </row>
    <row r="355" spans="1:12" x14ac:dyDescent="0.25">
      <c r="A355">
        <f t="shared" si="38"/>
        <v>14.5</v>
      </c>
      <c r="C355" s="260">
        <v>348</v>
      </c>
      <c r="D355" s="261">
        <f t="shared" si="35"/>
        <v>160542.3319198392</v>
      </c>
      <c r="E355" s="257">
        <f t="shared" si="34"/>
        <v>420</v>
      </c>
      <c r="F355" s="257">
        <f t="shared" si="34"/>
        <v>34.4</v>
      </c>
      <c r="G355" s="257">
        <f t="shared" si="34"/>
        <v>4.3</v>
      </c>
      <c r="K355">
        <f t="shared" si="36"/>
        <v>1</v>
      </c>
      <c r="L355">
        <f t="shared" si="37"/>
        <v>1</v>
      </c>
    </row>
    <row r="356" spans="1:12" x14ac:dyDescent="0.25">
      <c r="A356">
        <f t="shared" si="38"/>
        <v>14.541666666666666</v>
      </c>
      <c r="C356" s="260">
        <v>349</v>
      </c>
      <c r="D356" s="261">
        <f t="shared" si="35"/>
        <v>158154.02623915239</v>
      </c>
      <c r="E356" s="257">
        <f t="shared" si="34"/>
        <v>420</v>
      </c>
      <c r="F356" s="257">
        <f t="shared" si="34"/>
        <v>34.4</v>
      </c>
      <c r="G356" s="257">
        <f t="shared" si="34"/>
        <v>4.3</v>
      </c>
      <c r="K356">
        <f t="shared" si="36"/>
        <v>1</v>
      </c>
      <c r="L356">
        <f t="shared" si="37"/>
        <v>1</v>
      </c>
    </row>
    <row r="357" spans="1:12" x14ac:dyDescent="0.25">
      <c r="A357">
        <f t="shared" si="38"/>
        <v>14.583333333333334</v>
      </c>
      <c r="C357" s="260">
        <v>350</v>
      </c>
      <c r="D357" s="261">
        <f t="shared" si="35"/>
        <v>153579.5226797483</v>
      </c>
      <c r="E357" s="257">
        <f t="shared" si="34"/>
        <v>420</v>
      </c>
      <c r="F357" s="257">
        <f t="shared" si="34"/>
        <v>34.4</v>
      </c>
      <c r="G357" s="257">
        <f t="shared" si="34"/>
        <v>4.3</v>
      </c>
      <c r="K357">
        <f t="shared" si="36"/>
        <v>1</v>
      </c>
      <c r="L357">
        <f t="shared" si="37"/>
        <v>1</v>
      </c>
    </row>
    <row r="358" spans="1:12" x14ac:dyDescent="0.25">
      <c r="A358">
        <f t="shared" si="38"/>
        <v>14.625</v>
      </c>
      <c r="C358" s="260">
        <v>351</v>
      </c>
      <c r="D358" s="261">
        <f t="shared" si="35"/>
        <v>148424.51969535768</v>
      </c>
      <c r="E358" s="257">
        <f t="shared" si="34"/>
        <v>420</v>
      </c>
      <c r="F358" s="257">
        <f t="shared" si="34"/>
        <v>34.4</v>
      </c>
      <c r="G358" s="257">
        <f t="shared" si="34"/>
        <v>4.3</v>
      </c>
      <c r="K358">
        <f t="shared" si="36"/>
        <v>1</v>
      </c>
      <c r="L358">
        <f t="shared" si="37"/>
        <v>1</v>
      </c>
    </row>
    <row r="359" spans="1:12" x14ac:dyDescent="0.25">
      <c r="A359">
        <f t="shared" si="38"/>
        <v>14.666666666666666</v>
      </c>
      <c r="C359" s="260">
        <v>352</v>
      </c>
      <c r="D359" s="261">
        <f t="shared" si="35"/>
        <v>144185.97758124804</v>
      </c>
      <c r="E359" s="257">
        <f t="shared" si="34"/>
        <v>420</v>
      </c>
      <c r="F359" s="257">
        <f t="shared" si="34"/>
        <v>34.4</v>
      </c>
      <c r="G359" s="257">
        <f t="shared" si="34"/>
        <v>4.3</v>
      </c>
      <c r="K359">
        <f t="shared" si="36"/>
        <v>1</v>
      </c>
      <c r="L359">
        <f t="shared" si="37"/>
        <v>1</v>
      </c>
    </row>
    <row r="360" spans="1:12" x14ac:dyDescent="0.25">
      <c r="A360">
        <f t="shared" si="38"/>
        <v>14.708333333333334</v>
      </c>
      <c r="C360" s="260">
        <v>353</v>
      </c>
      <c r="D360" s="261">
        <f t="shared" si="35"/>
        <v>141843.12567518017</v>
      </c>
      <c r="E360" s="257">
        <f t="shared" ref="E360:G390" si="39">E$3*$L360</f>
        <v>420</v>
      </c>
      <c r="F360" s="257">
        <f t="shared" si="39"/>
        <v>34.4</v>
      </c>
      <c r="G360" s="257">
        <f t="shared" si="39"/>
        <v>4.3</v>
      </c>
      <c r="K360">
        <f t="shared" si="36"/>
        <v>1</v>
      </c>
      <c r="L360">
        <f t="shared" si="37"/>
        <v>1</v>
      </c>
    </row>
    <row r="361" spans="1:12" x14ac:dyDescent="0.25">
      <c r="A361">
        <f t="shared" si="38"/>
        <v>14.75</v>
      </c>
      <c r="C361" s="260">
        <v>354</v>
      </c>
      <c r="D361" s="261">
        <f t="shared" si="35"/>
        <v>141605.74281395547</v>
      </c>
      <c r="E361" s="257">
        <f t="shared" si="39"/>
        <v>420</v>
      </c>
      <c r="F361" s="257">
        <f t="shared" si="39"/>
        <v>34.4</v>
      </c>
      <c r="G361" s="257">
        <f t="shared" si="39"/>
        <v>4.3</v>
      </c>
      <c r="K361">
        <f t="shared" si="36"/>
        <v>1</v>
      </c>
      <c r="L361">
        <f t="shared" si="37"/>
        <v>1</v>
      </c>
    </row>
    <row r="362" spans="1:12" x14ac:dyDescent="0.25">
      <c r="A362">
        <f t="shared" si="38"/>
        <v>14.791666666666666</v>
      </c>
      <c r="C362" s="260">
        <v>355</v>
      </c>
      <c r="D362" s="261">
        <f t="shared" si="35"/>
        <v>142886.43234859695</v>
      </c>
      <c r="E362" s="257">
        <f t="shared" si="39"/>
        <v>420</v>
      </c>
      <c r="F362" s="257">
        <f t="shared" si="39"/>
        <v>34.4</v>
      </c>
      <c r="G362" s="257">
        <f t="shared" si="39"/>
        <v>4.3</v>
      </c>
      <c r="K362">
        <f t="shared" si="36"/>
        <v>1</v>
      </c>
      <c r="L362">
        <f t="shared" si="37"/>
        <v>1</v>
      </c>
    </row>
    <row r="363" spans="1:12" x14ac:dyDescent="0.25">
      <c r="A363">
        <f t="shared" si="38"/>
        <v>14.833333333333334</v>
      </c>
      <c r="C363" s="260">
        <v>356</v>
      </c>
      <c r="D363" s="261">
        <f t="shared" si="35"/>
        <v>144502.37939398063</v>
      </c>
      <c r="E363" s="257">
        <f t="shared" si="39"/>
        <v>420</v>
      </c>
      <c r="F363" s="257">
        <f t="shared" si="39"/>
        <v>34.4</v>
      </c>
      <c r="G363" s="257">
        <f t="shared" si="39"/>
        <v>4.3</v>
      </c>
      <c r="K363">
        <f t="shared" si="36"/>
        <v>1</v>
      </c>
      <c r="L363">
        <f t="shared" si="37"/>
        <v>1</v>
      </c>
    </row>
    <row r="364" spans="1:12" x14ac:dyDescent="0.25">
      <c r="A364">
        <f t="shared" si="38"/>
        <v>14.875</v>
      </c>
      <c r="C364" s="260">
        <v>357</v>
      </c>
      <c r="D364" s="261">
        <f t="shared" si="35"/>
        <v>145049.50623356036</v>
      </c>
      <c r="E364" s="257">
        <f t="shared" si="39"/>
        <v>420</v>
      </c>
      <c r="F364" s="257">
        <f t="shared" si="39"/>
        <v>34.4</v>
      </c>
      <c r="G364" s="257">
        <f t="shared" si="39"/>
        <v>4.3</v>
      </c>
      <c r="K364">
        <f t="shared" si="36"/>
        <v>1</v>
      </c>
      <c r="L364">
        <f t="shared" si="37"/>
        <v>1</v>
      </c>
    </row>
    <row r="365" spans="1:12" x14ac:dyDescent="0.25">
      <c r="A365">
        <f t="shared" si="38"/>
        <v>14.916666666666666</v>
      </c>
      <c r="C365" s="260">
        <v>358</v>
      </c>
      <c r="D365" s="261">
        <f t="shared" si="35"/>
        <v>143344.87171646225</v>
      </c>
      <c r="E365" s="257">
        <f t="shared" si="39"/>
        <v>420</v>
      </c>
      <c r="F365" s="257">
        <f t="shared" si="39"/>
        <v>34.4</v>
      </c>
      <c r="G365" s="257">
        <f t="shared" si="39"/>
        <v>4.3</v>
      </c>
      <c r="K365">
        <f t="shared" si="36"/>
        <v>1</v>
      </c>
      <c r="L365">
        <f t="shared" si="37"/>
        <v>1</v>
      </c>
    </row>
    <row r="366" spans="1:12" x14ac:dyDescent="0.25">
      <c r="A366">
        <f t="shared" si="38"/>
        <v>14.958333333333334</v>
      </c>
      <c r="C366" s="260">
        <v>359</v>
      </c>
      <c r="D366" s="261">
        <f t="shared" si="35"/>
        <v>138814.26417077854</v>
      </c>
      <c r="E366" s="257">
        <f t="shared" si="39"/>
        <v>420</v>
      </c>
      <c r="F366" s="257">
        <f t="shared" si="39"/>
        <v>34.4</v>
      </c>
      <c r="G366" s="257">
        <f t="shared" si="39"/>
        <v>4.3</v>
      </c>
      <c r="K366">
        <f t="shared" si="36"/>
        <v>1</v>
      </c>
      <c r="L366">
        <f t="shared" si="37"/>
        <v>1</v>
      </c>
    </row>
    <row r="367" spans="1:12" x14ac:dyDescent="0.25">
      <c r="A367">
        <f t="shared" si="38"/>
        <v>15</v>
      </c>
      <c r="C367" s="260">
        <v>360</v>
      </c>
      <c r="D367" s="261">
        <f t="shared" si="35"/>
        <v>131716.31966241612</v>
      </c>
      <c r="E367" s="257">
        <f t="shared" si="39"/>
        <v>420</v>
      </c>
      <c r="F367" s="257">
        <f t="shared" si="39"/>
        <v>34.4</v>
      </c>
      <c r="G367" s="257">
        <f t="shared" si="39"/>
        <v>4.3</v>
      </c>
      <c r="K367">
        <f t="shared" si="36"/>
        <v>1</v>
      </c>
      <c r="L367">
        <f t="shared" si="37"/>
        <v>1</v>
      </c>
    </row>
    <row r="368" spans="1:12" x14ac:dyDescent="0.25">
      <c r="A368">
        <f t="shared" si="38"/>
        <v>15.041666666666666</v>
      </c>
      <c r="C368" s="260">
        <v>361</v>
      </c>
      <c r="D368" s="261">
        <f t="shared" si="35"/>
        <v>123138.32527838717</v>
      </c>
      <c r="E368" s="257">
        <f t="shared" si="39"/>
        <v>420</v>
      </c>
      <c r="F368" s="257">
        <f t="shared" si="39"/>
        <v>34.4</v>
      </c>
      <c r="G368" s="257">
        <f t="shared" si="39"/>
        <v>4.3</v>
      </c>
      <c r="K368">
        <f t="shared" si="36"/>
        <v>1</v>
      </c>
      <c r="L368">
        <f t="shared" si="37"/>
        <v>1</v>
      </c>
    </row>
    <row r="369" spans="1:12" x14ac:dyDescent="0.25">
      <c r="A369">
        <f t="shared" si="38"/>
        <v>15.083333333333334</v>
      </c>
      <c r="C369" s="260">
        <v>362</v>
      </c>
      <c r="D369" s="261">
        <f t="shared" si="35"/>
        <v>114760.39516993523</v>
      </c>
      <c r="E369" s="257">
        <f t="shared" si="39"/>
        <v>420</v>
      </c>
      <c r="F369" s="257">
        <f t="shared" si="39"/>
        <v>34.4</v>
      </c>
      <c r="G369" s="257">
        <f t="shared" si="39"/>
        <v>4.3</v>
      </c>
      <c r="K369">
        <f t="shared" si="36"/>
        <v>1</v>
      </c>
      <c r="L369">
        <f t="shared" si="37"/>
        <v>1</v>
      </c>
    </row>
    <row r="370" spans="1:12" x14ac:dyDescent="0.25">
      <c r="A370">
        <f t="shared" si="38"/>
        <v>15.125</v>
      </c>
      <c r="C370" s="260">
        <v>363</v>
      </c>
      <c r="D370" s="261">
        <f t="shared" si="35"/>
        <v>108447.42502464916</v>
      </c>
      <c r="E370" s="257">
        <f t="shared" si="39"/>
        <v>420</v>
      </c>
      <c r="F370" s="257">
        <f t="shared" si="39"/>
        <v>34.4</v>
      </c>
      <c r="G370" s="257">
        <f t="shared" si="39"/>
        <v>4.3</v>
      </c>
      <c r="K370">
        <f t="shared" si="36"/>
        <v>1</v>
      </c>
      <c r="L370">
        <f t="shared" si="37"/>
        <v>1</v>
      </c>
    </row>
    <row r="371" spans="1:12" x14ac:dyDescent="0.25">
      <c r="A371">
        <f t="shared" si="38"/>
        <v>15.166666666666666</v>
      </c>
      <c r="C371" s="260">
        <v>364</v>
      </c>
      <c r="D371" s="261">
        <f t="shared" si="35"/>
        <v>105775.28868618018</v>
      </c>
      <c r="E371" s="257">
        <f t="shared" si="39"/>
        <v>420</v>
      </c>
      <c r="F371" s="257">
        <f t="shared" si="39"/>
        <v>34.4</v>
      </c>
      <c r="G371" s="257">
        <f t="shared" si="39"/>
        <v>4.3</v>
      </c>
      <c r="K371">
        <f t="shared" si="36"/>
        <v>1</v>
      </c>
      <c r="L371">
        <f t="shared" si="37"/>
        <v>1</v>
      </c>
    </row>
    <row r="372" spans="1:12" x14ac:dyDescent="0.25">
      <c r="A372">
        <f t="shared" si="38"/>
        <v>15.208333333333334</v>
      </c>
      <c r="C372" s="260">
        <v>365</v>
      </c>
      <c r="D372" s="261">
        <f t="shared" si="35"/>
        <v>107616.46752728715</v>
      </c>
      <c r="E372" s="257">
        <f t="shared" si="39"/>
        <v>420</v>
      </c>
      <c r="F372" s="257">
        <f t="shared" si="39"/>
        <v>34.4</v>
      </c>
      <c r="G372" s="257">
        <f t="shared" si="39"/>
        <v>4.3</v>
      </c>
      <c r="K372">
        <f t="shared" si="36"/>
        <v>1</v>
      </c>
      <c r="L372">
        <f t="shared" si="37"/>
        <v>1</v>
      </c>
    </row>
    <row r="373" spans="1:12" x14ac:dyDescent="0.25">
      <c r="A373">
        <f t="shared" si="38"/>
        <v>15.25</v>
      </c>
      <c r="C373" s="260">
        <v>366</v>
      </c>
      <c r="D373" s="261">
        <f t="shared" si="35"/>
        <v>113895.6056037893</v>
      </c>
      <c r="E373" s="257">
        <f t="shared" si="39"/>
        <v>420</v>
      </c>
      <c r="F373" s="257">
        <f t="shared" si="39"/>
        <v>34.4</v>
      </c>
      <c r="G373" s="257">
        <f t="shared" si="39"/>
        <v>4.3</v>
      </c>
      <c r="K373">
        <f t="shared" si="36"/>
        <v>1</v>
      </c>
      <c r="L373">
        <f t="shared" si="37"/>
        <v>1</v>
      </c>
    </row>
    <row r="374" spans="1:12" x14ac:dyDescent="0.25">
      <c r="A374">
        <f t="shared" si="38"/>
        <v>15.291666666666666</v>
      </c>
      <c r="C374" s="260">
        <v>367</v>
      </c>
      <c r="D374" s="261">
        <f t="shared" si="35"/>
        <v>123581.21613386353</v>
      </c>
      <c r="E374" s="257">
        <f t="shared" si="39"/>
        <v>420</v>
      </c>
      <c r="F374" s="257">
        <f t="shared" si="39"/>
        <v>34.4</v>
      </c>
      <c r="G374" s="257">
        <f t="shared" si="39"/>
        <v>4.3</v>
      </c>
      <c r="K374">
        <f t="shared" si="36"/>
        <v>1</v>
      </c>
      <c r="L374">
        <f t="shared" si="37"/>
        <v>1</v>
      </c>
    </row>
    <row r="375" spans="1:12" x14ac:dyDescent="0.25">
      <c r="A375">
        <f t="shared" si="38"/>
        <v>15.333333333333334</v>
      </c>
      <c r="C375" s="260">
        <v>368</v>
      </c>
      <c r="D375" s="261">
        <f t="shared" si="35"/>
        <v>134917.7027563359</v>
      </c>
      <c r="E375" s="257">
        <f t="shared" si="39"/>
        <v>420</v>
      </c>
      <c r="F375" s="257">
        <f t="shared" si="39"/>
        <v>34.4</v>
      </c>
      <c r="G375" s="257">
        <f t="shared" si="39"/>
        <v>4.3</v>
      </c>
      <c r="K375">
        <f t="shared" si="36"/>
        <v>1</v>
      </c>
      <c r="L375">
        <f t="shared" si="37"/>
        <v>1</v>
      </c>
    </row>
    <row r="376" spans="1:12" x14ac:dyDescent="0.25">
      <c r="A376">
        <f t="shared" si="38"/>
        <v>15.375</v>
      </c>
      <c r="C376" s="260">
        <v>369</v>
      </c>
      <c r="D376" s="261">
        <f t="shared" si="35"/>
        <v>145838.54904643274</v>
      </c>
      <c r="E376" s="257">
        <f t="shared" si="39"/>
        <v>420</v>
      </c>
      <c r="F376" s="257">
        <f t="shared" si="39"/>
        <v>34.4</v>
      </c>
      <c r="G376" s="257">
        <f t="shared" si="39"/>
        <v>4.3</v>
      </c>
      <c r="K376">
        <f t="shared" si="36"/>
        <v>1</v>
      </c>
      <c r="L376">
        <f t="shared" si="37"/>
        <v>1</v>
      </c>
    </row>
    <row r="377" spans="1:12" x14ac:dyDescent="0.25">
      <c r="A377">
        <f t="shared" si="38"/>
        <v>15.416666666666666</v>
      </c>
      <c r="C377" s="260">
        <v>370</v>
      </c>
      <c r="D377" s="261">
        <f t="shared" si="35"/>
        <v>154453.8620161094</v>
      </c>
      <c r="E377" s="257">
        <f t="shared" si="39"/>
        <v>420</v>
      </c>
      <c r="F377" s="257">
        <f t="shared" si="39"/>
        <v>34.4</v>
      </c>
      <c r="G377" s="257">
        <f t="shared" si="39"/>
        <v>4.3</v>
      </c>
      <c r="K377">
        <f t="shared" si="36"/>
        <v>1</v>
      </c>
      <c r="L377">
        <f t="shared" si="37"/>
        <v>1</v>
      </c>
    </row>
    <row r="378" spans="1:12" x14ac:dyDescent="0.25">
      <c r="A378">
        <f t="shared" si="38"/>
        <v>15.458333333333334</v>
      </c>
      <c r="C378" s="260">
        <v>371</v>
      </c>
      <c r="D378" s="261">
        <f t="shared" si="35"/>
        <v>159486.14262675395</v>
      </c>
      <c r="E378" s="257">
        <f t="shared" si="39"/>
        <v>420</v>
      </c>
      <c r="F378" s="257">
        <f t="shared" si="39"/>
        <v>34.4</v>
      </c>
      <c r="G378" s="257">
        <f t="shared" si="39"/>
        <v>4.3</v>
      </c>
      <c r="K378">
        <f t="shared" si="36"/>
        <v>1</v>
      </c>
      <c r="L378">
        <f t="shared" si="37"/>
        <v>1</v>
      </c>
    </row>
    <row r="379" spans="1:12" x14ac:dyDescent="0.25">
      <c r="A379">
        <f t="shared" si="38"/>
        <v>15.5</v>
      </c>
      <c r="C379" s="260">
        <v>372</v>
      </c>
      <c r="D379" s="261">
        <f t="shared" si="35"/>
        <v>160542.3319198392</v>
      </c>
      <c r="E379" s="257">
        <f t="shared" si="39"/>
        <v>420</v>
      </c>
      <c r="F379" s="257">
        <f t="shared" si="39"/>
        <v>34.4</v>
      </c>
      <c r="G379" s="257">
        <f t="shared" si="39"/>
        <v>4.3</v>
      </c>
      <c r="K379">
        <f t="shared" si="36"/>
        <v>1</v>
      </c>
      <c r="L379">
        <f t="shared" si="37"/>
        <v>1</v>
      </c>
    </row>
    <row r="380" spans="1:12" x14ac:dyDescent="0.25">
      <c r="A380">
        <f t="shared" si="38"/>
        <v>15.541666666666666</v>
      </c>
      <c r="C380" s="260">
        <v>373</v>
      </c>
      <c r="D380" s="261">
        <f t="shared" si="35"/>
        <v>158154.02623915239</v>
      </c>
      <c r="E380" s="257">
        <f t="shared" si="39"/>
        <v>420</v>
      </c>
      <c r="F380" s="257">
        <f t="shared" si="39"/>
        <v>34.4</v>
      </c>
      <c r="G380" s="257">
        <f t="shared" si="39"/>
        <v>4.3</v>
      </c>
      <c r="K380">
        <f t="shared" si="36"/>
        <v>1</v>
      </c>
      <c r="L380">
        <f t="shared" si="37"/>
        <v>1</v>
      </c>
    </row>
    <row r="381" spans="1:12" x14ac:dyDescent="0.25">
      <c r="A381">
        <f t="shared" si="38"/>
        <v>15.583333333333334</v>
      </c>
      <c r="C381" s="260">
        <v>374</v>
      </c>
      <c r="D381" s="261">
        <f t="shared" si="35"/>
        <v>153579.5226797483</v>
      </c>
      <c r="E381" s="257">
        <f t="shared" si="39"/>
        <v>420</v>
      </c>
      <c r="F381" s="257">
        <f t="shared" si="39"/>
        <v>34.4</v>
      </c>
      <c r="G381" s="257">
        <f t="shared" si="39"/>
        <v>4.3</v>
      </c>
      <c r="K381">
        <f t="shared" si="36"/>
        <v>1</v>
      </c>
      <c r="L381">
        <f t="shared" si="37"/>
        <v>1</v>
      </c>
    </row>
    <row r="382" spans="1:12" x14ac:dyDescent="0.25">
      <c r="A382">
        <f t="shared" si="38"/>
        <v>15.625</v>
      </c>
      <c r="C382" s="260">
        <v>375</v>
      </c>
      <c r="D382" s="261">
        <f t="shared" si="35"/>
        <v>148424.51969535768</v>
      </c>
      <c r="E382" s="257">
        <f t="shared" si="39"/>
        <v>420</v>
      </c>
      <c r="F382" s="257">
        <f t="shared" si="39"/>
        <v>34.4</v>
      </c>
      <c r="G382" s="257">
        <f t="shared" si="39"/>
        <v>4.3</v>
      </c>
      <c r="K382">
        <f t="shared" si="36"/>
        <v>1</v>
      </c>
      <c r="L382">
        <f t="shared" si="37"/>
        <v>1</v>
      </c>
    </row>
    <row r="383" spans="1:12" x14ac:dyDescent="0.25">
      <c r="A383">
        <f t="shared" si="38"/>
        <v>15.666666666666666</v>
      </c>
      <c r="C383" s="260">
        <v>376</v>
      </c>
      <c r="D383" s="261">
        <f t="shared" si="35"/>
        <v>144185.97758124804</v>
      </c>
      <c r="E383" s="257">
        <f t="shared" si="39"/>
        <v>420</v>
      </c>
      <c r="F383" s="257">
        <f t="shared" si="39"/>
        <v>34.4</v>
      </c>
      <c r="G383" s="257">
        <f t="shared" si="39"/>
        <v>4.3</v>
      </c>
      <c r="K383">
        <f t="shared" si="36"/>
        <v>1</v>
      </c>
      <c r="L383">
        <f t="shared" si="37"/>
        <v>1</v>
      </c>
    </row>
    <row r="384" spans="1:12" x14ac:dyDescent="0.25">
      <c r="A384">
        <f t="shared" si="38"/>
        <v>15.708333333333334</v>
      </c>
      <c r="C384" s="260">
        <v>377</v>
      </c>
      <c r="D384" s="261">
        <f t="shared" ref="D384:D390" si="40">D72*K384</f>
        <v>141843.12567518017</v>
      </c>
      <c r="E384" s="257">
        <f t="shared" si="39"/>
        <v>420</v>
      </c>
      <c r="F384" s="257">
        <f t="shared" si="39"/>
        <v>34.4</v>
      </c>
      <c r="G384" s="257">
        <f t="shared" si="39"/>
        <v>4.3</v>
      </c>
      <c r="K384">
        <f t="shared" ref="K384:K390" si="41">$T$20</f>
        <v>1</v>
      </c>
      <c r="L384">
        <f t="shared" ref="L384:L390" si="42">$U$20</f>
        <v>1</v>
      </c>
    </row>
    <row r="385" spans="1:12" x14ac:dyDescent="0.25">
      <c r="A385">
        <f t="shared" si="38"/>
        <v>15.75</v>
      </c>
      <c r="C385" s="260">
        <v>378</v>
      </c>
      <c r="D385" s="261">
        <f t="shared" si="40"/>
        <v>141605.74281395547</v>
      </c>
      <c r="E385" s="257">
        <f t="shared" si="39"/>
        <v>420</v>
      </c>
      <c r="F385" s="257">
        <f t="shared" si="39"/>
        <v>34.4</v>
      </c>
      <c r="G385" s="257">
        <f t="shared" si="39"/>
        <v>4.3</v>
      </c>
      <c r="K385">
        <f t="shared" si="41"/>
        <v>1</v>
      </c>
      <c r="L385">
        <f t="shared" si="42"/>
        <v>1</v>
      </c>
    </row>
    <row r="386" spans="1:12" x14ac:dyDescent="0.25">
      <c r="A386">
        <f t="shared" si="38"/>
        <v>15.791666666666666</v>
      </c>
      <c r="C386" s="260">
        <v>379</v>
      </c>
      <c r="D386" s="261">
        <f t="shared" si="40"/>
        <v>142886.43234859695</v>
      </c>
      <c r="E386" s="257">
        <f t="shared" si="39"/>
        <v>420</v>
      </c>
      <c r="F386" s="257">
        <f t="shared" si="39"/>
        <v>34.4</v>
      </c>
      <c r="G386" s="257">
        <f t="shared" si="39"/>
        <v>4.3</v>
      </c>
      <c r="K386">
        <f t="shared" si="41"/>
        <v>1</v>
      </c>
      <c r="L386">
        <f t="shared" si="42"/>
        <v>1</v>
      </c>
    </row>
    <row r="387" spans="1:12" x14ac:dyDescent="0.25">
      <c r="A387">
        <f t="shared" si="38"/>
        <v>15.833333333333334</v>
      </c>
      <c r="C387" s="260">
        <v>380</v>
      </c>
      <c r="D387" s="261">
        <f t="shared" si="40"/>
        <v>144502.37939398063</v>
      </c>
      <c r="E387" s="257">
        <f t="shared" si="39"/>
        <v>420</v>
      </c>
      <c r="F387" s="257">
        <f t="shared" si="39"/>
        <v>34.4</v>
      </c>
      <c r="G387" s="257">
        <f t="shared" si="39"/>
        <v>4.3</v>
      </c>
      <c r="K387">
        <f t="shared" si="41"/>
        <v>1</v>
      </c>
      <c r="L387">
        <f t="shared" si="42"/>
        <v>1</v>
      </c>
    </row>
    <row r="388" spans="1:12" x14ac:dyDescent="0.25">
      <c r="A388">
        <f t="shared" si="38"/>
        <v>15.875</v>
      </c>
      <c r="C388" s="260">
        <v>381</v>
      </c>
      <c r="D388" s="261">
        <f t="shared" si="40"/>
        <v>145049.50623356036</v>
      </c>
      <c r="E388" s="257">
        <f t="shared" si="39"/>
        <v>420</v>
      </c>
      <c r="F388" s="257">
        <f t="shared" si="39"/>
        <v>34.4</v>
      </c>
      <c r="G388" s="257">
        <f t="shared" si="39"/>
        <v>4.3</v>
      </c>
      <c r="K388">
        <f t="shared" si="41"/>
        <v>1</v>
      </c>
      <c r="L388">
        <f t="shared" si="42"/>
        <v>1</v>
      </c>
    </row>
    <row r="389" spans="1:12" x14ac:dyDescent="0.25">
      <c r="A389">
        <f t="shared" si="38"/>
        <v>15.916666666666666</v>
      </c>
      <c r="C389" s="260">
        <v>382</v>
      </c>
      <c r="D389" s="261">
        <f t="shared" si="40"/>
        <v>143344.87171646225</v>
      </c>
      <c r="E389" s="257">
        <f t="shared" si="39"/>
        <v>420</v>
      </c>
      <c r="F389" s="257">
        <f t="shared" si="39"/>
        <v>34.4</v>
      </c>
      <c r="G389" s="257">
        <f t="shared" si="39"/>
        <v>4.3</v>
      </c>
      <c r="K389">
        <f t="shared" si="41"/>
        <v>1</v>
      </c>
      <c r="L389">
        <f t="shared" si="42"/>
        <v>1</v>
      </c>
    </row>
    <row r="390" spans="1:12" x14ac:dyDescent="0.25">
      <c r="A390">
        <f t="shared" si="38"/>
        <v>15.958333333333334</v>
      </c>
      <c r="C390" s="260">
        <v>383</v>
      </c>
      <c r="D390" s="261">
        <f t="shared" si="40"/>
        <v>138814.26417077854</v>
      </c>
      <c r="E390" s="257">
        <f t="shared" si="39"/>
        <v>420</v>
      </c>
      <c r="F390" s="257">
        <f t="shared" si="39"/>
        <v>34.4</v>
      </c>
      <c r="G390" s="257">
        <f t="shared" si="39"/>
        <v>4.3</v>
      </c>
      <c r="K390">
        <f t="shared" si="41"/>
        <v>1</v>
      </c>
      <c r="L390">
        <f t="shared" si="42"/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2"/>
  <sheetViews>
    <sheetView showGridLines="0" showRowColHeaders="0" workbookViewId="0"/>
  </sheetViews>
  <sheetFormatPr defaultColWidth="9.140625" defaultRowHeight="15" x14ac:dyDescent="0.25"/>
  <cols>
    <col min="1" max="1" width="3.7109375" customWidth="1"/>
    <col min="2" max="2" width="26.42578125" customWidth="1"/>
    <col min="3" max="3" width="14.7109375" customWidth="1"/>
    <col min="5" max="5" width="11.85546875" bestFit="1" customWidth="1"/>
    <col min="6" max="6" width="20" customWidth="1"/>
    <col min="7" max="7" width="7.140625" customWidth="1"/>
    <col min="8" max="8" width="39.5703125" customWidth="1"/>
    <col min="9" max="9" width="8.28515625" customWidth="1"/>
    <col min="10" max="10" width="8.5703125" customWidth="1"/>
    <col min="11" max="11" width="21.140625" customWidth="1"/>
  </cols>
  <sheetData>
    <row r="1" spans="2:11" ht="15.75" thickBot="1" x14ac:dyDescent="0.3"/>
    <row r="2" spans="2:11" ht="18.75" customHeight="1" thickBot="1" x14ac:dyDescent="0.3">
      <c r="B2" s="242" t="s">
        <v>110</v>
      </c>
      <c r="C2" s="247" t="s">
        <v>1</v>
      </c>
      <c r="D2" s="247" t="s">
        <v>82</v>
      </c>
      <c r="E2" s="247" t="s">
        <v>108</v>
      </c>
      <c r="F2" s="231" t="s">
        <v>109</v>
      </c>
      <c r="H2" s="224" t="s">
        <v>379</v>
      </c>
      <c r="I2" s="225"/>
      <c r="J2" s="225"/>
      <c r="K2" s="226"/>
    </row>
    <row r="3" spans="2:11" ht="18.75" customHeight="1" thickBot="1" x14ac:dyDescent="0.3">
      <c r="B3" s="243" t="s">
        <v>81</v>
      </c>
      <c r="C3" s="244" t="s">
        <v>72</v>
      </c>
      <c r="D3" s="245">
        <f>E3+Balances!C6+Balances!C10+SUM(Balances!C15:C21)</f>
        <v>380.935</v>
      </c>
      <c r="E3" s="245">
        <f>F3+Balances!C5</f>
        <v>128.4</v>
      </c>
      <c r="F3" s="246">
        <f>Balances!C3+Balances!C4+Balances!C14</f>
        <v>74</v>
      </c>
      <c r="H3" s="251" t="s">
        <v>0</v>
      </c>
      <c r="I3" s="47" t="s">
        <v>82</v>
      </c>
      <c r="J3" s="47" t="s">
        <v>108</v>
      </c>
      <c r="K3" s="48" t="s">
        <v>109</v>
      </c>
    </row>
    <row r="4" spans="2:11" ht="18.75" customHeight="1" x14ac:dyDescent="0.25">
      <c r="B4" s="38" t="s">
        <v>154</v>
      </c>
      <c r="C4" s="44" t="s">
        <v>198</v>
      </c>
      <c r="D4" s="39">
        <f>D3*'Check fractions'!$D$26</f>
        <v>361.88824999999997</v>
      </c>
      <c r="E4" s="39">
        <f>E3*'Check fractions'!$D$26</f>
        <v>121.98</v>
      </c>
      <c r="F4" s="40">
        <f>F3*'Check fractions'!$D$26</f>
        <v>70.3</v>
      </c>
      <c r="H4" s="248" t="s">
        <v>2</v>
      </c>
      <c r="I4" s="249" t="s">
        <v>92</v>
      </c>
      <c r="J4" s="249" t="s">
        <v>92</v>
      </c>
      <c r="K4" s="250" t="s">
        <v>92</v>
      </c>
    </row>
    <row r="5" spans="2:11" ht="18.75" customHeight="1" thickBot="1" x14ac:dyDescent="0.3">
      <c r="B5" s="41" t="s">
        <v>155</v>
      </c>
      <c r="C5" s="45" t="s">
        <v>198</v>
      </c>
      <c r="D5" s="42">
        <f>(D4-E4)*'Check fractions'!D29+E5</f>
        <v>214.23212499999997</v>
      </c>
      <c r="E5" s="42">
        <f>(E4-F4)*'Check fractions'!D28+F5</f>
        <v>94.277999999999992</v>
      </c>
      <c r="F5" s="43">
        <f>F4*'Check fractions'!D27</f>
        <v>63.269999999999996</v>
      </c>
      <c r="H5" s="35" t="s">
        <v>3</v>
      </c>
      <c r="I5" s="24" t="s">
        <v>93</v>
      </c>
      <c r="J5" s="24" t="s">
        <v>93</v>
      </c>
      <c r="K5" s="46" t="s">
        <v>93</v>
      </c>
    </row>
    <row r="6" spans="2:11" ht="18.75" customHeight="1" x14ac:dyDescent="0.25">
      <c r="H6" s="35" t="s">
        <v>4</v>
      </c>
      <c r="I6" s="24" t="s">
        <v>94</v>
      </c>
      <c r="J6" s="24" t="s">
        <v>94</v>
      </c>
      <c r="K6" s="46" t="s">
        <v>94</v>
      </c>
    </row>
    <row r="7" spans="2:11" ht="18.75" customHeight="1" thickBot="1" x14ac:dyDescent="0.3">
      <c r="H7" s="208" t="s">
        <v>5</v>
      </c>
      <c r="I7" s="24" t="s">
        <v>95</v>
      </c>
      <c r="J7" s="24" t="s">
        <v>95</v>
      </c>
      <c r="K7" s="46"/>
    </row>
    <row r="8" spans="2:11" ht="18.75" thickBot="1" x14ac:dyDescent="0.3">
      <c r="B8" s="242" t="s">
        <v>119</v>
      </c>
      <c r="C8" s="357" t="s">
        <v>123</v>
      </c>
      <c r="D8" s="357" t="s">
        <v>176</v>
      </c>
      <c r="E8" s="358" t="s">
        <v>122</v>
      </c>
      <c r="H8" s="35" t="s">
        <v>6</v>
      </c>
      <c r="I8" s="24" t="s">
        <v>96</v>
      </c>
      <c r="J8" s="24"/>
      <c r="K8" s="46"/>
    </row>
    <row r="9" spans="2:11" ht="18" x14ac:dyDescent="0.25">
      <c r="B9" s="216" t="s">
        <v>40</v>
      </c>
      <c r="C9" s="239">
        <v>0.05</v>
      </c>
      <c r="D9" s="240"/>
      <c r="E9" s="241">
        <v>0.15</v>
      </c>
      <c r="H9" s="35" t="s">
        <v>7</v>
      </c>
      <c r="I9" s="24" t="s">
        <v>97</v>
      </c>
      <c r="J9" s="24" t="s">
        <v>97</v>
      </c>
      <c r="K9" s="46" t="s">
        <v>97</v>
      </c>
    </row>
    <row r="10" spans="2:11" ht="18" x14ac:dyDescent="0.25">
      <c r="B10" s="227" t="s">
        <v>120</v>
      </c>
      <c r="C10" s="232">
        <v>0.1</v>
      </c>
      <c r="D10" s="229"/>
      <c r="E10" s="234">
        <v>0.25</v>
      </c>
      <c r="H10" s="35" t="s">
        <v>8</v>
      </c>
      <c r="I10" s="24" t="s">
        <v>98</v>
      </c>
      <c r="J10" s="24" t="s">
        <v>98</v>
      </c>
      <c r="K10" s="46"/>
    </row>
    <row r="11" spans="2:11" ht="18.75" thickBot="1" x14ac:dyDescent="0.3">
      <c r="B11" s="228" t="s">
        <v>121</v>
      </c>
      <c r="C11" s="233">
        <v>0.05</v>
      </c>
      <c r="D11" s="230"/>
      <c r="E11" s="235">
        <v>0.15</v>
      </c>
      <c r="H11" s="35" t="s">
        <v>9</v>
      </c>
      <c r="I11" s="24" t="s">
        <v>99</v>
      </c>
      <c r="J11" s="24"/>
      <c r="K11" s="46"/>
    </row>
    <row r="12" spans="2:11" ht="18" x14ac:dyDescent="0.25">
      <c r="H12" s="35" t="s">
        <v>10</v>
      </c>
      <c r="I12" s="24" t="s">
        <v>100</v>
      </c>
      <c r="J12" s="24"/>
      <c r="K12" s="46"/>
    </row>
    <row r="13" spans="2:11" ht="18" x14ac:dyDescent="0.25">
      <c r="H13" s="208" t="s">
        <v>305</v>
      </c>
      <c r="I13" s="24" t="s">
        <v>306</v>
      </c>
      <c r="J13" s="24"/>
      <c r="K13" s="46"/>
    </row>
    <row r="14" spans="2:11" ht="18" x14ac:dyDescent="0.25">
      <c r="H14" s="35" t="s">
        <v>102</v>
      </c>
      <c r="I14" s="24" t="s">
        <v>101</v>
      </c>
      <c r="J14" s="24"/>
      <c r="K14" s="46"/>
    </row>
    <row r="15" spans="2:11" ht="18" x14ac:dyDescent="0.25">
      <c r="H15" s="208" t="s">
        <v>277</v>
      </c>
      <c r="I15" s="24" t="s">
        <v>307</v>
      </c>
      <c r="J15" s="24"/>
      <c r="K15" s="46"/>
    </row>
    <row r="16" spans="2:11" ht="18" x14ac:dyDescent="0.25">
      <c r="H16" s="223" t="s">
        <v>308</v>
      </c>
      <c r="I16" s="24" t="s">
        <v>103</v>
      </c>
      <c r="J16" s="24"/>
      <c r="K16" s="46"/>
    </row>
    <row r="17" spans="6:11" ht="18" x14ac:dyDescent="0.25">
      <c r="H17" s="236" t="s">
        <v>378</v>
      </c>
      <c r="I17" s="24" t="s">
        <v>380</v>
      </c>
      <c r="J17" s="24"/>
      <c r="K17" s="46"/>
    </row>
    <row r="18" spans="6:11" ht="18" x14ac:dyDescent="0.25">
      <c r="H18" s="236" t="s">
        <v>278</v>
      </c>
      <c r="I18" s="24" t="s">
        <v>104</v>
      </c>
      <c r="J18" s="24"/>
      <c r="K18" s="46"/>
    </row>
    <row r="19" spans="6:11" ht="18" x14ac:dyDescent="0.25">
      <c r="H19" s="208" t="s">
        <v>279</v>
      </c>
      <c r="I19" s="24" t="s">
        <v>105</v>
      </c>
      <c r="J19" s="24"/>
      <c r="K19" s="46"/>
    </row>
    <row r="20" spans="6:11" ht="18" x14ac:dyDescent="0.25">
      <c r="F20" s="154"/>
      <c r="H20" s="35" t="s">
        <v>280</v>
      </c>
      <c r="I20" s="24" t="s">
        <v>106</v>
      </c>
      <c r="J20" s="24"/>
      <c r="K20" s="46"/>
    </row>
    <row r="21" spans="6:11" ht="18.75" thickBot="1" x14ac:dyDescent="0.3">
      <c r="F21" s="155"/>
      <c r="H21" s="34" t="s">
        <v>281</v>
      </c>
      <c r="I21" s="47" t="s">
        <v>107</v>
      </c>
      <c r="J21" s="47"/>
      <c r="K21" s="48"/>
    </row>
    <row r="22" spans="6:11" x14ac:dyDescent="0.25">
      <c r="F22" s="155"/>
    </row>
  </sheetData>
  <sheetProtection selectLockedCells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188B0CA-5931-4E28-95BE-DD3E802EAF87}">
            <xm:f>NOT(ISERROR(SEARCH($E$8,C8)))</xm:f>
            <xm:f>$E$8</xm:f>
            <x14:dxf>
              <fill>
                <patternFill>
                  <bgColor rgb="FFFF3300"/>
                </patternFill>
              </fill>
            </x14:dxf>
          </x14:cfRule>
          <x14:cfRule type="containsText" priority="2" operator="containsText" id="{DB301110-77F5-42B8-B9EE-03E42A600247}">
            <xm:f>NOT(ISERROR(SEARCH($D$8,C8)))</xm:f>
            <xm:f>$D$8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4640F1BC-6BA0-4DEC-8FA3-E227FB9F282B}">
            <xm:f>NOT(ISERROR(SEARCH($C$8,C8)))</xm:f>
            <xm:f>$C$8</xm:f>
            <x14:dxf>
              <fill>
                <patternFill>
                  <bgColor theme="9" tint="0.39994506668294322"/>
                </patternFill>
              </fill>
            </x14:dxf>
          </x14:cfRule>
          <xm:sqref>C8:E8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26</vt:i4>
      </vt:variant>
    </vt:vector>
  </HeadingPairs>
  <TitlesOfParts>
    <vt:vector size="35" baseType="lpstr">
      <vt:lpstr>Help</vt:lpstr>
      <vt:lpstr>Data</vt:lpstr>
      <vt:lpstr>Check fractions</vt:lpstr>
      <vt:lpstr>Sumo forms</vt:lpstr>
      <vt:lpstr>Fractionation tree</vt:lpstr>
      <vt:lpstr>Balances</vt:lpstr>
      <vt:lpstr>Diurnal flow</vt:lpstr>
      <vt:lpstr>Birthday Cake</vt:lpstr>
      <vt:lpstr>Calculations</vt:lpstr>
      <vt:lpstr>A_SFHAO_H</vt:lpstr>
      <vt:lpstr>A_SFHAO_L</vt:lpstr>
      <vt:lpstr>A_SFHFO_H</vt:lpstr>
      <vt:lpstr>A_SFHFO_L</vt:lpstr>
      <vt:lpstr>AM_Al</vt:lpstr>
      <vt:lpstr>AM_Fe</vt:lpstr>
      <vt:lpstr>AM_P</vt:lpstr>
      <vt:lpstr>ASF_H</vt:lpstr>
      <vt:lpstr>ASF_L</vt:lpstr>
      <vt:lpstr>f_H2O_HAO_TSS</vt:lpstr>
      <vt:lpstr>f_H2O_HFO_TSS</vt:lpstr>
      <vt:lpstr>i_CV_PHA</vt:lpstr>
      <vt:lpstr>i_N_BIO</vt:lpstr>
      <vt:lpstr>i_N_CB</vt:lpstr>
      <vt:lpstr>i_N_CU</vt:lpstr>
      <vt:lpstr>i_N_SU</vt:lpstr>
      <vt:lpstr>i_N_XE</vt:lpstr>
      <vt:lpstr>i_N_XSTR</vt:lpstr>
      <vt:lpstr>i_P_BIO</vt:lpstr>
      <vt:lpstr>i_P_CB</vt:lpstr>
      <vt:lpstr>i_P_CU</vt:lpstr>
      <vt:lpstr>i_P_SU</vt:lpstr>
      <vt:lpstr>i_TSS_PP</vt:lpstr>
      <vt:lpstr>MM_HAO</vt:lpstr>
      <vt:lpstr>MM_HFO</vt:lpstr>
      <vt:lpstr>MM_PO4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Imre Takacs</dc:creator>
  <cp:lastModifiedBy>Erki Lember</cp:lastModifiedBy>
  <dcterms:created xsi:type="dcterms:W3CDTF">2014-09-09T20:53:53Z</dcterms:created>
  <dcterms:modified xsi:type="dcterms:W3CDTF">2024-11-14T14:31:22Z</dcterms:modified>
</cp:coreProperties>
</file>