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erkilember/Desktop/"/>
    </mc:Choice>
  </mc:AlternateContent>
  <xr:revisionPtr revIDLastSave="0" documentId="13_ncr:1_{ADC49C6C-3CA8-8A4B-90B9-DE88FF795A1B}" xr6:coauthVersionLast="47" xr6:coauthVersionMax="47" xr10:uidLastSave="{00000000-0000-0000-0000-000000000000}"/>
  <bookViews>
    <workbookView xWindow="500" yWindow="660" windowWidth="25440" windowHeight="1788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E21" i="1"/>
  <c r="C52" i="1"/>
  <c r="C56" i="1" s="1"/>
  <c r="K3" i="1"/>
  <c r="C46" i="1" s="1"/>
  <c r="C54" i="1"/>
  <c r="C49" i="1"/>
  <c r="C50" i="1" s="1"/>
  <c r="C55" i="1" l="1"/>
  <c r="C58" i="1"/>
  <c r="C59" i="1"/>
  <c r="C60" i="1" l="1"/>
  <c r="E4" i="1" l="1"/>
  <c r="C10" i="1" s="1"/>
  <c r="C20" i="1"/>
  <c r="C19" i="1" l="1"/>
  <c r="C28" i="1"/>
  <c r="C29" i="1" l="1"/>
  <c r="C33" i="1" s="1"/>
  <c r="C35" i="1" l="1"/>
  <c r="E9" i="1"/>
  <c r="C11" i="1" s="1"/>
  <c r="E6" i="1"/>
  <c r="E5" i="1"/>
  <c r="C12" i="1" l="1"/>
  <c r="C18" i="1" s="1"/>
  <c r="C21" i="1" l="1"/>
  <c r="C22" i="1" s="1"/>
  <c r="C24" i="1" s="1"/>
  <c r="C14" i="1"/>
  <c r="C15" i="1" s="1"/>
  <c r="C16" i="1" s="1"/>
  <c r="F24" i="1" l="1"/>
  <c r="I24" i="1" l="1"/>
</calcChain>
</file>

<file path=xl/sharedStrings.xml><?xml version="1.0" encoding="utf-8"?>
<sst xmlns="http://schemas.openxmlformats.org/spreadsheetml/2006/main" count="117" uniqueCount="87">
  <si>
    <t>Sissevool</t>
  </si>
  <si>
    <t>H.a</t>
  </si>
  <si>
    <t>Q</t>
  </si>
  <si>
    <t>m3/d</t>
  </si>
  <si>
    <t>mg/l</t>
  </si>
  <si>
    <t>Püld</t>
  </si>
  <si>
    <t>Temp</t>
  </si>
  <si>
    <t>Mudavanus</t>
  </si>
  <si>
    <t>d</t>
  </si>
  <si>
    <t>kg/d</t>
  </si>
  <si>
    <t>P_bioloogiaks</t>
  </si>
  <si>
    <t>tarbitakse BHT-st kasvuks</t>
  </si>
  <si>
    <t>P_suublas lubatud</t>
  </si>
  <si>
    <t>P_keemiliselt</t>
  </si>
  <si>
    <t>vaja eemaldada keemiliselt</t>
  </si>
  <si>
    <t>P_nõue</t>
  </si>
  <si>
    <t>1 kg P eemaldamiseks 2,7 kgFe</t>
  </si>
  <si>
    <t>kgFe/d</t>
  </si>
  <si>
    <t>Fe2(SO4)3 ainult Fe</t>
  </si>
  <si>
    <t>Fe2(SO4)3 kokku</t>
  </si>
  <si>
    <t>Koagulandi maht</t>
  </si>
  <si>
    <t>jagatud tihedusega 1,54</t>
  </si>
  <si>
    <t>l/d</t>
  </si>
  <si>
    <t>kgFe2(SO4)3, sisaldab 11,5% Fe -ristkorrutis</t>
  </si>
  <si>
    <t>Keemiline liigmuda</t>
  </si>
  <si>
    <t>kg kuivainet/d</t>
  </si>
  <si>
    <t xml:space="preserve">Liigmuda BHT7 </t>
  </si>
  <si>
    <t>Ft</t>
  </si>
  <si>
    <t>Liigmuda kokku</t>
  </si>
  <si>
    <t>Vajalik aktiivmuda</t>
  </si>
  <si>
    <t>MLSS</t>
  </si>
  <si>
    <t>kg/m3</t>
  </si>
  <si>
    <t>Vbioreaktor</t>
  </si>
  <si>
    <t>m3</t>
  </si>
  <si>
    <t>Lämmastikubilanss</t>
  </si>
  <si>
    <t>Nüld või TKN sisse</t>
  </si>
  <si>
    <t>sissevool Nüld või TKN</t>
  </si>
  <si>
    <t>N_bioloogiaks</t>
  </si>
  <si>
    <t>mikroorganismide kasvuks</t>
  </si>
  <si>
    <t>N_settekäitlus</t>
  </si>
  <si>
    <t>tagasi protsessi (settekäitlus)</t>
  </si>
  <si>
    <t>NH4-N väljavool</t>
  </si>
  <si>
    <t>Norg väljavool</t>
  </si>
  <si>
    <t>eeldame</t>
  </si>
  <si>
    <t>väljundis</t>
  </si>
  <si>
    <t>NO3 vaja DE</t>
  </si>
  <si>
    <t>vaja denitrifitseerida</t>
  </si>
  <si>
    <t>NO3/BHT</t>
  </si>
  <si>
    <t>ANOX</t>
  </si>
  <si>
    <t>AER</t>
  </si>
  <si>
    <t>tabelist 3 VDE/VAT suhe</t>
  </si>
  <si>
    <t>Soovitud NO3 väljundis</t>
  </si>
  <si>
    <t>BHT5</t>
  </si>
  <si>
    <t>Järelsetiti</t>
  </si>
  <si>
    <t xml:space="preserve">Vooluhulk max </t>
  </si>
  <si>
    <t>m3/h</t>
  </si>
  <si>
    <t>kasutatakse maksimaalset vooluhulka, mitte keskmist</t>
  </si>
  <si>
    <t>SVI</t>
  </si>
  <si>
    <t>l/kg tavaliselt mõõdetakse, kui andmed puuduvad siis 100-150 vahel.</t>
  </si>
  <si>
    <t>Settimisaeg</t>
  </si>
  <si>
    <t>h</t>
  </si>
  <si>
    <t>valime ise tabel 10</t>
  </si>
  <si>
    <t>MLSS järelsetiti põhjas</t>
  </si>
  <si>
    <t>valem 6-1</t>
  </si>
  <si>
    <t>MLSS tagastusmudas</t>
  </si>
  <si>
    <t>Tagastusmuda suhe</t>
  </si>
  <si>
    <t>valime ise</t>
  </si>
  <si>
    <t>MLSS aerotankis</t>
  </si>
  <si>
    <t>Mudamahu koormus</t>
  </si>
  <si>
    <t>l/(m2*h)</t>
  </si>
  <si>
    <t>valime ise, mitu liitrit aktiivmuda mõjub ühele setiti ruutmeetrile tunnis</t>
  </si>
  <si>
    <t>Pinnakoormus</t>
  </si>
  <si>
    <t>m/h</t>
  </si>
  <si>
    <t>Vajalik järelsetiti pindala</t>
  </si>
  <si>
    <t>m2</t>
  </si>
  <si>
    <t>Võrdlusmuda maht</t>
  </si>
  <si>
    <t>l/m3</t>
  </si>
  <si>
    <t>Selge vee tsooni kõrgus</t>
  </si>
  <si>
    <t>m</t>
  </si>
  <si>
    <t>Eraldustsooni kõrgus</t>
  </si>
  <si>
    <t>Tihenemis, muda eemaldustsooni kõrgus</t>
  </si>
  <si>
    <t>Kogu sügavus</t>
  </si>
  <si>
    <t>Valime</t>
  </si>
  <si>
    <t>Max vooluhulk 3 korde keskmine</t>
  </si>
  <si>
    <t>valida standardist</t>
  </si>
  <si>
    <t>Tsirkulatsioonivajadus NO3</t>
  </si>
  <si>
    <t>NÄIDIS, kus ei pruugi olla õiged konstandid, kontrolli neid standardist, vastavalt sinu algandmetele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</si>
</sst>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2" fontId="0" fillId="0" borderId="0" xfId="0" applyNumberFormat="1"/>
    <xf numFmtId="1" fontId="0" fillId="2" borderId="0" xfId="0" applyNumberFormat="1" applyFill="1"/>
    <xf numFmtId="164" fontId="0" fillId="0" borderId="0" xfId="0" applyNumberFormat="1"/>
    <xf numFmtId="164" fontId="0" fillId="2" borderId="0" xfId="0" applyNumberFormat="1" applyFill="1"/>
    <xf numFmtId="0" fontId="2" fillId="2" borderId="0" xfId="0" applyFont="1" applyFill="1"/>
    <xf numFmtId="0" fontId="3" fillId="0" borderId="0" xfId="0" applyFont="1"/>
    <xf numFmtId="0" fontId="3" fillId="2" borderId="0" xfId="0" applyFon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1"/>
  <sheetViews>
    <sheetView tabSelected="1" zoomScaleNormal="100" workbookViewId="0">
      <selection activeCell="F35" sqref="F35"/>
    </sheetView>
  </sheetViews>
  <sheetFormatPr baseColWidth="10" defaultColWidth="8.83203125" defaultRowHeight="15" x14ac:dyDescent="0.2"/>
  <cols>
    <col min="2" max="2" width="21.1640625" customWidth="1"/>
    <col min="3" max="3" width="10.33203125" customWidth="1"/>
    <col min="4" max="4" width="15" customWidth="1"/>
  </cols>
  <sheetData>
    <row r="1" spans="2:12" ht="21" x14ac:dyDescent="0.25">
      <c r="B1" s="11" t="s">
        <v>86</v>
      </c>
      <c r="C1" s="11"/>
      <c r="D1" s="11"/>
    </row>
    <row r="2" spans="2:12" x14ac:dyDescent="0.2">
      <c r="B2" s="1" t="s">
        <v>0</v>
      </c>
    </row>
    <row r="3" spans="2:12" x14ac:dyDescent="0.2">
      <c r="B3" s="2" t="s">
        <v>2</v>
      </c>
      <c r="C3" s="2">
        <v>2260</v>
      </c>
      <c r="D3" s="2" t="s">
        <v>3</v>
      </c>
      <c r="H3" t="s">
        <v>83</v>
      </c>
      <c r="K3">
        <f>(C3*3)/24</f>
        <v>282.5</v>
      </c>
      <c r="L3" t="s">
        <v>55</v>
      </c>
    </row>
    <row r="4" spans="2:12" x14ac:dyDescent="0.2">
      <c r="B4" s="2" t="s">
        <v>52</v>
      </c>
      <c r="C4" s="2">
        <v>380</v>
      </c>
      <c r="D4" s="2" t="s">
        <v>4</v>
      </c>
      <c r="E4">
        <f>(C4/1000)*C3</f>
        <v>858.8</v>
      </c>
      <c r="F4" t="s">
        <v>9</v>
      </c>
    </row>
    <row r="5" spans="2:12" x14ac:dyDescent="0.2">
      <c r="B5" s="2" t="s">
        <v>1</v>
      </c>
      <c r="C5" s="2">
        <v>418</v>
      </c>
      <c r="D5" s="2" t="s">
        <v>4</v>
      </c>
      <c r="E5">
        <f>(C5/1000)*C3</f>
        <v>944.68</v>
      </c>
      <c r="F5" t="s">
        <v>9</v>
      </c>
      <c r="G5" s="2"/>
    </row>
    <row r="6" spans="2:12" x14ac:dyDescent="0.2">
      <c r="B6" s="2" t="s">
        <v>5</v>
      </c>
      <c r="C6" s="2">
        <v>15</v>
      </c>
      <c r="D6" s="2"/>
      <c r="E6">
        <f>(C6/1000)*C3</f>
        <v>33.9</v>
      </c>
      <c r="F6" t="s">
        <v>9</v>
      </c>
    </row>
    <row r="7" spans="2:12" x14ac:dyDescent="0.2">
      <c r="B7" s="2" t="s">
        <v>6</v>
      </c>
      <c r="C7" s="2">
        <v>12</v>
      </c>
      <c r="D7" s="2"/>
    </row>
    <row r="8" spans="2:12" x14ac:dyDescent="0.2">
      <c r="B8" s="2" t="s">
        <v>7</v>
      </c>
      <c r="C8" s="2">
        <v>13</v>
      </c>
      <c r="D8" s="2" t="s">
        <v>8</v>
      </c>
      <c r="E8" t="s">
        <v>84</v>
      </c>
    </row>
    <row r="9" spans="2:12" x14ac:dyDescent="0.2">
      <c r="B9" t="s">
        <v>15</v>
      </c>
      <c r="C9" s="6">
        <v>0.3</v>
      </c>
      <c r="D9" t="s">
        <v>4</v>
      </c>
      <c r="E9">
        <f>C9/1000*C3</f>
        <v>0.67799999999999994</v>
      </c>
      <c r="F9" t="s">
        <v>9</v>
      </c>
    </row>
    <row r="10" spans="2:12" x14ac:dyDescent="0.2">
      <c r="B10" t="s">
        <v>10</v>
      </c>
      <c r="C10" s="6">
        <f>E4*0.015</f>
        <v>12.882</v>
      </c>
      <c r="D10" t="s">
        <v>9</v>
      </c>
      <c r="E10" t="s">
        <v>11</v>
      </c>
    </row>
    <row r="11" spans="2:12" x14ac:dyDescent="0.2">
      <c r="B11" t="s">
        <v>12</v>
      </c>
      <c r="C11" s="6">
        <f>E9</f>
        <v>0.67799999999999994</v>
      </c>
      <c r="D11" s="3" t="s">
        <v>9</v>
      </c>
    </row>
    <row r="12" spans="2:12" x14ac:dyDescent="0.2">
      <c r="B12" t="s">
        <v>13</v>
      </c>
      <c r="C12" s="6">
        <f>E6-C10-E9</f>
        <v>20.34</v>
      </c>
      <c r="D12" t="s">
        <v>9</v>
      </c>
      <c r="E12" t="s">
        <v>14</v>
      </c>
    </row>
    <row r="13" spans="2:12" x14ac:dyDescent="0.2">
      <c r="C13" s="6"/>
    </row>
    <row r="14" spans="2:12" x14ac:dyDescent="0.2">
      <c r="B14" t="s">
        <v>18</v>
      </c>
      <c r="C14" s="6">
        <f>C12*2.7</f>
        <v>54.918000000000006</v>
      </c>
      <c r="D14" t="s">
        <v>17</v>
      </c>
      <c r="E14" t="s">
        <v>16</v>
      </c>
    </row>
    <row r="15" spans="2:12" x14ac:dyDescent="0.2">
      <c r="B15" t="s">
        <v>19</v>
      </c>
      <c r="C15" s="6">
        <f>C14*100/11.5</f>
        <v>477.5478260869566</v>
      </c>
      <c r="D15" t="s">
        <v>23</v>
      </c>
    </row>
    <row r="16" spans="2:12" x14ac:dyDescent="0.2">
      <c r="B16" t="s">
        <v>20</v>
      </c>
      <c r="C16" s="6">
        <f>C15/1.54</f>
        <v>310.09599096555621</v>
      </c>
      <c r="D16" t="s">
        <v>22</v>
      </c>
      <c r="E16" t="s">
        <v>21</v>
      </c>
    </row>
    <row r="17" spans="2:10" x14ac:dyDescent="0.2">
      <c r="C17" s="6"/>
    </row>
    <row r="18" spans="2:10" x14ac:dyDescent="0.2">
      <c r="B18" t="s">
        <v>24</v>
      </c>
      <c r="C18" s="6">
        <f>C12*6.8</f>
        <v>138.31199999999998</v>
      </c>
      <c r="D18" t="s">
        <v>25</v>
      </c>
    </row>
    <row r="19" spans="2:10" x14ac:dyDescent="0.2">
      <c r="B19" t="s">
        <v>26</v>
      </c>
      <c r="C19" s="6">
        <f>E4*(0.75+(0.6*(C5/C4))-((1-0.2)*0.17*0.75*C8*C20)/(1+0.17*C8*C20))</f>
        <v>880.05572461670852</v>
      </c>
    </row>
    <row r="20" spans="2:10" x14ac:dyDescent="0.2">
      <c r="B20" t="s">
        <v>27</v>
      </c>
      <c r="C20" s="6">
        <f>1.072^(C7-15)</f>
        <v>0.81173756412856624</v>
      </c>
    </row>
    <row r="21" spans="2:10" x14ac:dyDescent="0.2">
      <c r="B21" t="s">
        <v>28</v>
      </c>
      <c r="C21" s="6">
        <f>C19+C18</f>
        <v>1018.3677246167085</v>
      </c>
      <c r="D21" t="s">
        <v>9</v>
      </c>
      <c r="E21" s="6">
        <f>C21/C50</f>
        <v>127.01527122012335</v>
      </c>
      <c r="F21" t="s">
        <v>3</v>
      </c>
      <c r="G21" s="6"/>
    </row>
    <row r="22" spans="2:10" x14ac:dyDescent="0.2">
      <c r="B22" t="s">
        <v>29</v>
      </c>
      <c r="C22" s="6">
        <f>C21*C8</f>
        <v>13238.78042001721</v>
      </c>
      <c r="D22" t="s">
        <v>9</v>
      </c>
    </row>
    <row r="23" spans="2:10" x14ac:dyDescent="0.2">
      <c r="B23" t="s">
        <v>30</v>
      </c>
      <c r="C23" s="6">
        <v>4</v>
      </c>
      <c r="D23" t="s">
        <v>31</v>
      </c>
    </row>
    <row r="24" spans="2:10" x14ac:dyDescent="0.2">
      <c r="B24" s="2" t="s">
        <v>32</v>
      </c>
      <c r="C24" s="7">
        <f>C22/C23</f>
        <v>3309.6951050043026</v>
      </c>
      <c r="D24" s="2" t="s">
        <v>33</v>
      </c>
      <c r="E24" s="2" t="s">
        <v>48</v>
      </c>
      <c r="F24" s="5">
        <f>C24*0.5</f>
        <v>1654.8475525021513</v>
      </c>
      <c r="G24" s="2" t="s">
        <v>33</v>
      </c>
      <c r="H24" s="2" t="s">
        <v>49</v>
      </c>
      <c r="I24" s="5">
        <f>C24-F24</f>
        <v>1654.8475525021513</v>
      </c>
      <c r="J24" s="2" t="s">
        <v>33</v>
      </c>
    </row>
    <row r="26" spans="2:10" x14ac:dyDescent="0.2">
      <c r="B26" s="1" t="s">
        <v>34</v>
      </c>
    </row>
    <row r="27" spans="2:10" x14ac:dyDescent="0.2">
      <c r="B27" t="s">
        <v>35</v>
      </c>
      <c r="C27">
        <v>56</v>
      </c>
      <c r="D27" t="s">
        <v>4</v>
      </c>
      <c r="E27" t="s">
        <v>36</v>
      </c>
    </row>
    <row r="28" spans="2:10" x14ac:dyDescent="0.2">
      <c r="B28" t="s">
        <v>37</v>
      </c>
      <c r="C28">
        <f>0.05*C4</f>
        <v>19</v>
      </c>
      <c r="D28" t="s">
        <v>4</v>
      </c>
      <c r="E28" t="s">
        <v>38</v>
      </c>
    </row>
    <row r="29" spans="2:10" x14ac:dyDescent="0.2">
      <c r="B29" t="s">
        <v>39</v>
      </c>
      <c r="C29">
        <f>0.5*C28</f>
        <v>9.5</v>
      </c>
      <c r="D29" t="s">
        <v>4</v>
      </c>
      <c r="E29" t="s">
        <v>40</v>
      </c>
    </row>
    <row r="30" spans="2:10" x14ac:dyDescent="0.2">
      <c r="B30" t="s">
        <v>41</v>
      </c>
      <c r="C30">
        <v>0.2</v>
      </c>
      <c r="D30" t="s">
        <v>4</v>
      </c>
      <c r="E30" t="s">
        <v>43</v>
      </c>
    </row>
    <row r="31" spans="2:10" x14ac:dyDescent="0.2">
      <c r="B31" t="s">
        <v>42</v>
      </c>
      <c r="C31">
        <v>0.2</v>
      </c>
      <c r="D31" t="s">
        <v>4</v>
      </c>
      <c r="E31" t="s">
        <v>43</v>
      </c>
    </row>
    <row r="32" spans="2:10" x14ac:dyDescent="0.2">
      <c r="B32" t="s">
        <v>51</v>
      </c>
      <c r="C32">
        <v>6</v>
      </c>
      <c r="D32" t="s">
        <v>4</v>
      </c>
      <c r="E32" t="s">
        <v>44</v>
      </c>
    </row>
    <row r="33" spans="2:5" x14ac:dyDescent="0.2">
      <c r="B33" s="1" t="s">
        <v>45</v>
      </c>
      <c r="C33" s="1">
        <f>C27+C29-C28-C30-C31-C32</f>
        <v>40.099999999999994</v>
      </c>
      <c r="D33" s="1" t="s">
        <v>4</v>
      </c>
      <c r="E33" t="s">
        <v>46</v>
      </c>
    </row>
    <row r="35" spans="2:5" x14ac:dyDescent="0.2">
      <c r="B35" t="s">
        <v>47</v>
      </c>
      <c r="C35" s="4">
        <f>C33/C4</f>
        <v>0.10552631578947366</v>
      </c>
      <c r="D35" t="s">
        <v>50</v>
      </c>
    </row>
    <row r="37" spans="2:5" x14ac:dyDescent="0.2">
      <c r="B37" t="s">
        <v>85</v>
      </c>
      <c r="C37" s="6">
        <f>C33/C32</f>
        <v>6.6833333333333327</v>
      </c>
    </row>
    <row r="39" spans="2:5" x14ac:dyDescent="0.2">
      <c r="C39" s="6"/>
    </row>
    <row r="40" spans="2:5" x14ac:dyDescent="0.2">
      <c r="C40" s="6"/>
    </row>
    <row r="41" spans="2:5" x14ac:dyDescent="0.2">
      <c r="C41" s="6"/>
    </row>
    <row r="42" spans="2:5" x14ac:dyDescent="0.2">
      <c r="C42" s="6"/>
    </row>
    <row r="45" spans="2:5" x14ac:dyDescent="0.2">
      <c r="B45" s="8" t="s">
        <v>53</v>
      </c>
    </row>
    <row r="46" spans="2:5" x14ac:dyDescent="0.2">
      <c r="B46" s="9" t="s">
        <v>54</v>
      </c>
      <c r="C46" s="6">
        <f>K3</f>
        <v>282.5</v>
      </c>
      <c r="D46" s="9" t="s">
        <v>55</v>
      </c>
      <c r="E46" s="9" t="s">
        <v>56</v>
      </c>
    </row>
    <row r="47" spans="2:5" x14ac:dyDescent="0.2">
      <c r="B47" s="9" t="s">
        <v>57</v>
      </c>
      <c r="C47" s="6">
        <v>110</v>
      </c>
      <c r="D47" s="9" t="s">
        <v>58</v>
      </c>
    </row>
    <row r="48" spans="2:5" x14ac:dyDescent="0.2">
      <c r="B48" s="9" t="s">
        <v>59</v>
      </c>
      <c r="C48" s="6">
        <v>2</v>
      </c>
      <c r="D48" s="9" t="s">
        <v>60</v>
      </c>
      <c r="E48" s="9" t="s">
        <v>61</v>
      </c>
    </row>
    <row r="49" spans="2:5" x14ac:dyDescent="0.2">
      <c r="B49" s="9" t="s">
        <v>62</v>
      </c>
      <c r="C49" s="6">
        <f>1000/C47*C48^(1/3)</f>
        <v>11.45382772631703</v>
      </c>
      <c r="D49" s="9" t="s">
        <v>31</v>
      </c>
      <c r="E49" s="9" t="s">
        <v>63</v>
      </c>
    </row>
    <row r="50" spans="2:5" x14ac:dyDescent="0.2">
      <c r="B50" s="9" t="s">
        <v>64</v>
      </c>
      <c r="C50" s="6">
        <f>C49*0.7</f>
        <v>8.0176794084219214</v>
      </c>
      <c r="D50" s="9" t="s">
        <v>31</v>
      </c>
      <c r="E50" s="9"/>
    </row>
    <row r="51" spans="2:5" x14ac:dyDescent="0.2">
      <c r="B51" s="9" t="s">
        <v>65</v>
      </c>
      <c r="C51" s="4">
        <v>0.75</v>
      </c>
      <c r="D51" s="9" t="s">
        <v>66</v>
      </c>
    </row>
    <row r="52" spans="2:5" x14ac:dyDescent="0.2">
      <c r="B52" s="9" t="s">
        <v>67</v>
      </c>
      <c r="C52" s="6">
        <f>C23</f>
        <v>4</v>
      </c>
      <c r="D52" s="9" t="s">
        <v>31</v>
      </c>
    </row>
    <row r="53" spans="2:5" x14ac:dyDescent="0.2">
      <c r="B53" s="9" t="s">
        <v>68</v>
      </c>
      <c r="C53" s="6">
        <v>500</v>
      </c>
      <c r="D53" s="9" t="s">
        <v>69</v>
      </c>
      <c r="E53" s="9" t="s">
        <v>70</v>
      </c>
    </row>
    <row r="54" spans="2:5" x14ac:dyDescent="0.2">
      <c r="B54" s="9" t="s">
        <v>71</v>
      </c>
      <c r="C54" s="6">
        <f>C53/(C52*C47)</f>
        <v>1.1363636363636365</v>
      </c>
      <c r="D54" s="9" t="s">
        <v>72</v>
      </c>
    </row>
    <row r="55" spans="2:5" x14ac:dyDescent="0.2">
      <c r="B55" s="9" t="s">
        <v>73</v>
      </c>
      <c r="C55" s="6">
        <f>C46/C54</f>
        <v>248.59999999999997</v>
      </c>
      <c r="D55" s="9" t="s">
        <v>74</v>
      </c>
    </row>
    <row r="56" spans="2:5" x14ac:dyDescent="0.2">
      <c r="B56" s="9" t="s">
        <v>75</v>
      </c>
      <c r="C56" s="6">
        <f>C47*C52</f>
        <v>440</v>
      </c>
      <c r="D56" s="9" t="s">
        <v>76</v>
      </c>
    </row>
    <row r="57" spans="2:5" x14ac:dyDescent="0.2">
      <c r="B57" s="9" t="s">
        <v>77</v>
      </c>
      <c r="C57" s="6">
        <v>0.5</v>
      </c>
      <c r="D57" s="9" t="s">
        <v>78</v>
      </c>
      <c r="E57" s="9" t="s">
        <v>66</v>
      </c>
    </row>
    <row r="58" spans="2:5" x14ac:dyDescent="0.2">
      <c r="B58" s="9" t="s">
        <v>79</v>
      </c>
      <c r="C58" s="6">
        <f>C54*(1+C51)*(500/(1000-C56)+C56/1100)</f>
        <v>2.5710227272727275</v>
      </c>
      <c r="D58" s="9" t="s">
        <v>78</v>
      </c>
    </row>
    <row r="59" spans="2:5" x14ac:dyDescent="0.2">
      <c r="B59" s="9" t="s">
        <v>80</v>
      </c>
      <c r="C59" s="6">
        <f>C52*C54*(1+C51)*C48/C49</f>
        <v>1.3889759204721746</v>
      </c>
      <c r="D59" s="9" t="s">
        <v>78</v>
      </c>
    </row>
    <row r="60" spans="2:5" x14ac:dyDescent="0.2">
      <c r="B60" s="10" t="s">
        <v>81</v>
      </c>
      <c r="C60" s="7">
        <f>SUM(C57:C59)</f>
        <v>4.4599986477449018</v>
      </c>
      <c r="D60" s="9" t="s">
        <v>78</v>
      </c>
    </row>
    <row r="61" spans="2:5" x14ac:dyDescent="0.2">
      <c r="B61" s="9" t="s">
        <v>82</v>
      </c>
      <c r="C61">
        <v>4.5</v>
      </c>
      <c r="D61" s="9" t="s">
        <v>78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8EEE8-15D8-B047-95B7-F7C69FA062B5}">
  <dimension ref="A1"/>
  <sheetViews>
    <sheetView zoomScale="140" zoomScaleNormal="140"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Erki Lember</dc:creator>
  <cp:lastModifiedBy>Erki Lember</cp:lastModifiedBy>
  <dcterms:created xsi:type="dcterms:W3CDTF">2019-11-11T07:00:47Z</dcterms:created>
  <dcterms:modified xsi:type="dcterms:W3CDTF">2026-02-04T10:34:25Z</dcterms:modified>
</cp:coreProperties>
</file>