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G:\My Drive\Projektid\2024_Rohekonsortsium\A_Rohekonsortsiumi materjal_2026\"/>
    </mc:Choice>
  </mc:AlternateContent>
  <xr:revisionPtr revIDLastSave="0" documentId="13_ncr:1_{4EE4CB00-B24E-49B7-930D-54B53385A255}" xr6:coauthVersionLast="47" xr6:coauthVersionMax="47" xr10:uidLastSave="{00000000-0000-0000-0000-000000000000}"/>
  <bookViews>
    <workbookView xWindow="-108" yWindow="-108" windowWidth="23256" windowHeight="13896" tabRatio="915" xr2:uid="{00000000-000D-0000-FFFF-FFFF00000000}"/>
  </bookViews>
  <sheets>
    <sheet name="Materjalid" sheetId="27" r:id="rId1"/>
    <sheet name="Karjäärid" sheetId="43" r:id="rId2"/>
    <sheet name="GWP" sheetId="21" r:id="rId3"/>
    <sheet name="Masinad" sheetId="22" r:id="rId4"/>
  </sheets>
  <definedNames>
    <definedName name="__xlnm.Print_Area">#REF!</definedName>
    <definedName name="__xlnm.Print_Titles">NA()</definedName>
    <definedName name="__xlnm.Print_Titles_1">NA()</definedName>
    <definedName name="__xlnm.Print_Titles_2">#REF!</definedName>
    <definedName name="__xlnm.Print_Titles_6">NA()</definedName>
    <definedName name="__xlnm.Print_Titles_7">NA()</definedName>
    <definedName name="__xlnm.Print_Titles_8">NA()</definedName>
    <definedName name="_xlnm._FilterDatabase" localSheetId="2" hidden="1">GWP!$A$1:$D$194</definedName>
    <definedName name="HOTELLI_EHITUSTÖÖD">#REF!</definedName>
    <definedName name="Masinad">Masinad!$A$4:$A$131</definedName>
    <definedName name="MasinaVõims">_xlfn._xlws.FILTER(Masinad!$D$4:$D$163, Masinad!$A$4:$A$163=#REF!)</definedName>
    <definedName name="MasinaVõimsused">_xlfn._xlws.FILTER(Masinad!$D$4:$D$163, Masinad!$A$4:$A$163=#REF!)</definedName>
    <definedName name="Std_Units" localSheetId="2">#REF!</definedName>
    <definedName name="Std_Units" localSheetId="0">#REF!</definedName>
    <definedName name="Std_Units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27" l="1"/>
  <c r="D10" i="27"/>
  <c r="D11" i="27"/>
  <c r="D8" i="27"/>
  <c r="A23" i="43" l="1"/>
  <c r="C15" i="43"/>
  <c r="B15" i="43"/>
  <c r="C26" i="43"/>
  <c r="C24" i="43"/>
  <c r="C44" i="43"/>
  <c r="C63" i="43"/>
  <c r="C100" i="43"/>
  <c r="C61" i="43"/>
  <c r="C42" i="43"/>
  <c r="C22" i="43"/>
  <c r="C10" i="43"/>
  <c r="C67" i="43"/>
  <c r="C48" i="43"/>
  <c r="C29" i="43"/>
  <c r="C14" i="43"/>
  <c r="C13" i="43"/>
  <c r="E13" i="43" s="1"/>
  <c r="H13" i="43" s="1"/>
  <c r="C27" i="43"/>
  <c r="C46" i="43"/>
  <c r="C45" i="43"/>
  <c r="C65" i="43"/>
  <c r="C64" i="43"/>
  <c r="C101" i="43"/>
  <c r="C102" i="43"/>
  <c r="C68" i="43"/>
  <c r="C49" i="43"/>
  <c r="C30" i="43"/>
  <c r="C25" i="43"/>
  <c r="C12" i="43"/>
  <c r="C28" i="43"/>
  <c r="C47" i="43"/>
  <c r="C66" i="43"/>
  <c r="C103" i="43"/>
  <c r="C91" i="43"/>
  <c r="C31" i="43"/>
  <c r="C50" i="43"/>
  <c r="C69" i="43"/>
  <c r="C79" i="43"/>
  <c r="B79" i="43"/>
  <c r="B102" i="43"/>
  <c r="B66" i="43"/>
  <c r="B47" i="43"/>
  <c r="B28" i="43"/>
  <c r="B25" i="43"/>
  <c r="E25" i="43" s="1"/>
  <c r="B12" i="43"/>
  <c r="B30" i="43"/>
  <c r="B49" i="43"/>
  <c r="B68" i="43"/>
  <c r="B67" i="43"/>
  <c r="B48" i="43"/>
  <c r="B29" i="43"/>
  <c r="B14" i="43"/>
  <c r="B27" i="43"/>
  <c r="B45" i="43"/>
  <c r="B46" i="43"/>
  <c r="B64" i="43"/>
  <c r="B65" i="43"/>
  <c r="B89" i="43"/>
  <c r="E89" i="43" s="1"/>
  <c r="B101" i="43"/>
  <c r="B91" i="43"/>
  <c r="B103" i="43"/>
  <c r="E103" i="43" s="1"/>
  <c r="B69" i="43"/>
  <c r="B50" i="43"/>
  <c r="B31" i="43"/>
  <c r="E31" i="43" s="1"/>
  <c r="B100" i="43"/>
  <c r="B63" i="43"/>
  <c r="B61" i="43"/>
  <c r="B44" i="43"/>
  <c r="B26" i="43"/>
  <c r="B24" i="43"/>
  <c r="B10" i="43"/>
  <c r="B22" i="43"/>
  <c r="B42" i="43"/>
  <c r="M42" i="43"/>
  <c r="M45" i="43" s="1"/>
  <c r="K42" i="43"/>
  <c r="L42" i="43" s="1"/>
  <c r="R43" i="43"/>
  <c r="R46" i="43" s="1"/>
  <c r="P43" i="43"/>
  <c r="Q43" i="43" s="1"/>
  <c r="V45" i="43"/>
  <c r="T45" i="43"/>
  <c r="U45" i="43" s="1"/>
  <c r="Z47" i="43"/>
  <c r="X47" i="43"/>
  <c r="Y47" i="43" s="1"/>
  <c r="T44" i="43"/>
  <c r="X46" i="43"/>
  <c r="Y46" i="43" s="1"/>
  <c r="AB48" i="43"/>
  <c r="AC48" i="43" s="1"/>
  <c r="AD49" i="43"/>
  <c r="AB49" i="43"/>
  <c r="AC49" i="43" s="1"/>
  <c r="P42" i="43"/>
  <c r="AF36" i="43"/>
  <c r="AG36" i="43" s="1"/>
  <c r="AF63" i="43"/>
  <c r="AG63" i="43" s="1"/>
  <c r="AF50" i="43"/>
  <c r="AG50" i="43" s="1"/>
  <c r="AJ38" i="43"/>
  <c r="AK38" i="43" s="1"/>
  <c r="AB62" i="43"/>
  <c r="AC62" i="43" s="1"/>
  <c r="AB61" i="43"/>
  <c r="AC61" i="43" s="1"/>
  <c r="R42" i="43"/>
  <c r="V44" i="43"/>
  <c r="Z46" i="43"/>
  <c r="AD48" i="43"/>
  <c r="AH36" i="43"/>
  <c r="AF37" i="43"/>
  <c r="AG37" i="43" s="1"/>
  <c r="AH37" i="43"/>
  <c r="AL38" i="43"/>
  <c r="AH63" i="43"/>
  <c r="AH50" i="43"/>
  <c r="AD62" i="43"/>
  <c r="AD61" i="43"/>
  <c r="B104" i="43"/>
  <c r="A104" i="43"/>
  <c r="E90" i="43"/>
  <c r="B88" i="43"/>
  <c r="A88" i="43"/>
  <c r="I73" i="43"/>
  <c r="H73" i="43"/>
  <c r="G73" i="43"/>
  <c r="N62" i="43" s="1"/>
  <c r="F73" i="43"/>
  <c r="AB64" i="43"/>
  <c r="B62" i="43"/>
  <c r="A62" i="43"/>
  <c r="AD60" i="43"/>
  <c r="AB60" i="43"/>
  <c r="N60" i="43"/>
  <c r="AB51" i="43"/>
  <c r="X49" i="43"/>
  <c r="T47" i="43"/>
  <c r="Q46" i="43"/>
  <c r="P45" i="43"/>
  <c r="Q45" i="43" s="1"/>
  <c r="L45" i="43"/>
  <c r="B43" i="43"/>
  <c r="A43" i="43"/>
  <c r="AH35" i="43"/>
  <c r="AF35" i="43"/>
  <c r="B23" i="43"/>
  <c r="B11" i="43"/>
  <c r="A11" i="43"/>
  <c r="E68" i="43" l="1"/>
  <c r="H68" i="43" s="1"/>
  <c r="E49" i="43"/>
  <c r="E100" i="43"/>
  <c r="E12" i="43"/>
  <c r="I12" i="43" s="1"/>
  <c r="E14" i="43"/>
  <c r="J14" i="43" s="1"/>
  <c r="E47" i="43"/>
  <c r="G47" i="43" s="1"/>
  <c r="E67" i="43"/>
  <c r="I67" i="43" s="1"/>
  <c r="E24" i="43"/>
  <c r="H24" i="43" s="1"/>
  <c r="E69" i="43"/>
  <c r="F69" i="43" s="1"/>
  <c r="E30" i="43"/>
  <c r="H30" i="43" s="1"/>
  <c r="E50" i="43"/>
  <c r="F50" i="43" s="1"/>
  <c r="E10" i="43"/>
  <c r="J10" i="43" s="1"/>
  <c r="E45" i="43"/>
  <c r="F45" i="43" s="1"/>
  <c r="E26" i="43"/>
  <c r="E27" i="43"/>
  <c r="H27" i="43" s="1"/>
  <c r="E28" i="43"/>
  <c r="I28" i="43" s="1"/>
  <c r="E101" i="43"/>
  <c r="E102" i="43"/>
  <c r="E44" i="43"/>
  <c r="I44" i="43" s="1"/>
  <c r="AC60" i="43"/>
  <c r="E11" i="43"/>
  <c r="J11" i="43" s="1"/>
  <c r="E63" i="43"/>
  <c r="F63" i="43" s="1"/>
  <c r="E64" i="43"/>
  <c r="I64" i="43" s="1"/>
  <c r="E61" i="43"/>
  <c r="F61" i="43" s="1"/>
  <c r="E43" i="43"/>
  <c r="H43" i="43" s="1"/>
  <c r="E23" i="43"/>
  <c r="G23" i="43" s="1"/>
  <c r="R45" i="43"/>
  <c r="R48" i="43" s="1"/>
  <c r="Q48" i="43" s="1"/>
  <c r="E79" i="43"/>
  <c r="F79" i="43" s="1"/>
  <c r="F81" i="43" s="1"/>
  <c r="E62" i="43"/>
  <c r="I62" i="43" s="1"/>
  <c r="AG35" i="43"/>
  <c r="E88" i="43"/>
  <c r="E22" i="43"/>
  <c r="F22" i="43" s="1"/>
  <c r="E66" i="43"/>
  <c r="H66" i="43" s="1"/>
  <c r="E104" i="43"/>
  <c r="E29" i="43"/>
  <c r="H29" i="43" s="1"/>
  <c r="U47" i="43"/>
  <c r="Y49" i="43" s="1"/>
  <c r="E48" i="43"/>
  <c r="G48" i="43" s="1"/>
  <c r="E65" i="43"/>
  <c r="G65" i="43" s="1"/>
  <c r="E46" i="43"/>
  <c r="I46" i="43" s="1"/>
  <c r="I68" i="43"/>
  <c r="E42" i="43"/>
  <c r="H42" i="43" s="1"/>
  <c r="R49" i="43"/>
  <c r="Q49" i="43" s="1"/>
  <c r="R47" i="43"/>
  <c r="J12" i="43"/>
  <c r="E91" i="43"/>
  <c r="H49" i="43"/>
  <c r="I49" i="43"/>
  <c r="V47" i="43"/>
  <c r="V50" i="43" s="1"/>
  <c r="V48" i="43"/>
  <c r="V51" i="43" s="1"/>
  <c r="U51" i="43" s="1"/>
  <c r="U48" i="43"/>
  <c r="V49" i="43" s="1"/>
  <c r="I31" i="43"/>
  <c r="H31" i="43"/>
  <c r="F31" i="43"/>
  <c r="G31" i="43"/>
  <c r="I25" i="43"/>
  <c r="F25" i="43"/>
  <c r="H25" i="43"/>
  <c r="G25" i="43"/>
  <c r="I47" i="43"/>
  <c r="H47" i="43"/>
  <c r="U44" i="43"/>
  <c r="Q42" i="43"/>
  <c r="E15" i="43"/>
  <c r="G28" i="43" l="1"/>
  <c r="H28" i="43"/>
  <c r="H69" i="43"/>
  <c r="G69" i="43"/>
  <c r="G67" i="43"/>
  <c r="H67" i="43"/>
  <c r="I24" i="43"/>
  <c r="I69" i="43"/>
  <c r="H50" i="43"/>
  <c r="G10" i="43"/>
  <c r="G24" i="43"/>
  <c r="F24" i="43"/>
  <c r="I50" i="43"/>
  <c r="F27" i="43"/>
  <c r="G50" i="43"/>
  <c r="G27" i="43"/>
  <c r="I27" i="43"/>
  <c r="I10" i="43"/>
  <c r="G45" i="43"/>
  <c r="F10" i="43"/>
  <c r="F16" i="43" s="1"/>
  <c r="H45" i="43"/>
  <c r="I45" i="43"/>
  <c r="I66" i="43"/>
  <c r="G66" i="43"/>
  <c r="H22" i="43"/>
  <c r="I43" i="43"/>
  <c r="F44" i="43"/>
  <c r="G44" i="43"/>
  <c r="H44" i="43"/>
  <c r="F62" i="43"/>
  <c r="I48" i="43"/>
  <c r="F64" i="43"/>
  <c r="G64" i="43"/>
  <c r="H64" i="43"/>
  <c r="H63" i="43"/>
  <c r="I63" i="43"/>
  <c r="G63" i="43"/>
  <c r="G79" i="43"/>
  <c r="G81" i="43" s="1"/>
  <c r="E105" i="43"/>
  <c r="G62" i="43"/>
  <c r="H48" i="43"/>
  <c r="H79" i="43"/>
  <c r="H81" i="43" s="1"/>
  <c r="I79" i="43"/>
  <c r="I81" i="43" s="1"/>
  <c r="G61" i="43"/>
  <c r="I61" i="43"/>
  <c r="H61" i="43"/>
  <c r="F43" i="43"/>
  <c r="G29" i="43"/>
  <c r="I23" i="43"/>
  <c r="F23" i="43"/>
  <c r="H23" i="43"/>
  <c r="Z50" i="43"/>
  <c r="Z53" i="43" s="1"/>
  <c r="Y53" i="43" s="1"/>
  <c r="AD64" i="43"/>
  <c r="AD67" i="43" s="1"/>
  <c r="H62" i="43"/>
  <c r="G22" i="43"/>
  <c r="AD65" i="43"/>
  <c r="AD68" i="43" s="1"/>
  <c r="I22" i="43"/>
  <c r="AD51" i="43"/>
  <c r="AD54" i="43" s="1"/>
  <c r="AC54" i="43" s="1"/>
  <c r="AC51" i="43"/>
  <c r="AG38" i="43" s="1"/>
  <c r="AC52" i="43"/>
  <c r="AD53" i="43" s="1"/>
  <c r="AD56" i="43" s="1"/>
  <c r="AC56" i="43" s="1"/>
  <c r="AD52" i="43"/>
  <c r="AD55" i="43" s="1"/>
  <c r="AC55" i="43" s="1"/>
  <c r="H65" i="43"/>
  <c r="G46" i="43"/>
  <c r="I65" i="43"/>
  <c r="H46" i="43"/>
  <c r="L77" i="43"/>
  <c r="L78" i="43" s="1"/>
  <c r="L79" i="43" s="1"/>
  <c r="Y50" i="43"/>
  <c r="Z54" i="43" s="1"/>
  <c r="Z49" i="43"/>
  <c r="Z52" i="43" s="1"/>
  <c r="Y52" i="43" s="1"/>
  <c r="F42" i="43"/>
  <c r="I42" i="43"/>
  <c r="G42" i="43"/>
  <c r="R50" i="43"/>
  <c r="Q50" i="43" s="1"/>
  <c r="V52" i="43"/>
  <c r="U52" i="43" s="1"/>
  <c r="U50" i="43"/>
  <c r="G15" i="43"/>
  <c r="J15" i="43"/>
  <c r="J16" i="43" s="1"/>
  <c r="H15" i="43"/>
  <c r="H16" i="43" s="1"/>
  <c r="I15" i="43"/>
  <c r="G16" i="43" l="1"/>
  <c r="H32" i="43"/>
  <c r="F32" i="43"/>
  <c r="I32" i="43"/>
  <c r="I16" i="43"/>
  <c r="F70" i="43"/>
  <c r="H51" i="43"/>
  <c r="I51" i="43"/>
  <c r="E87" i="43" s="1"/>
  <c r="E92" i="43" s="1"/>
  <c r="Z51" i="43"/>
  <c r="F51" i="43"/>
  <c r="Z55" i="43"/>
  <c r="G70" i="43"/>
  <c r="H70" i="43"/>
  <c r="AG53" i="43"/>
  <c r="AH52" i="43" s="1"/>
  <c r="AH54" i="43" s="1"/>
  <c r="AG54" i="43" s="1"/>
  <c r="L66" i="43"/>
  <c r="G51" i="43"/>
  <c r="I70" i="43"/>
  <c r="G32" i="43"/>
  <c r="AD57" i="43"/>
  <c r="L59" i="43"/>
  <c r="V53" i="43"/>
  <c r="R51" i="43"/>
  <c r="L71" i="43"/>
  <c r="AH38" i="43"/>
  <c r="AH40" i="43" s="1"/>
  <c r="AH39" i="43"/>
  <c r="AH41" i="43" s="1"/>
  <c r="AG41" i="43" s="1"/>
  <c r="AK41" i="43"/>
  <c r="AH42" i="43"/>
  <c r="Y54" i="43"/>
  <c r="M59" i="43"/>
  <c r="AH55" i="43" l="1"/>
  <c r="M77" i="43"/>
  <c r="AC67" i="43"/>
  <c r="AC65" i="43"/>
  <c r="AC64" i="43"/>
  <c r="AC68" i="43"/>
  <c r="L61" i="43"/>
  <c r="N59" i="43"/>
  <c r="AL42" i="43"/>
  <c r="AL40" i="43"/>
  <c r="AG40" i="43"/>
  <c r="AH43" i="43"/>
  <c r="AG66" i="43" l="1"/>
  <c r="AH65" i="43" s="1"/>
  <c r="AH67" i="43" s="1"/>
  <c r="L67" i="43"/>
  <c r="L72" i="43" s="1"/>
  <c r="L58" i="43"/>
  <c r="AD66" i="43"/>
  <c r="AD69" i="43" s="1"/>
  <c r="AD70" i="43"/>
  <c r="AK42" i="43"/>
  <c r="AL43" i="43"/>
  <c r="AC69" i="43" l="1"/>
  <c r="M58" i="43"/>
  <c r="AD71" i="43"/>
  <c r="L68" i="43"/>
  <c r="L73" i="43"/>
  <c r="AG67" i="43"/>
  <c r="AH68" i="43"/>
  <c r="M67" i="43"/>
  <c r="N58" i="43" l="1"/>
  <c r="N77" i="43" s="1"/>
  <c r="M66" i="43"/>
  <c r="N67" i="43"/>
  <c r="M72" i="43"/>
  <c r="M78" i="43"/>
  <c r="M61" i="43"/>
  <c r="N61" i="43" s="1"/>
  <c r="M60" i="43" l="1"/>
  <c r="M63" i="43" s="1"/>
  <c r="M71" i="43"/>
  <c r="N71" i="43" s="1"/>
  <c r="N66" i="43"/>
  <c r="N72" i="43"/>
  <c r="N78" i="43"/>
  <c r="F71" i="43"/>
  <c r="F52" i="43"/>
  <c r="H52" i="43" l="1"/>
  <c r="H71" i="43"/>
  <c r="I52" i="43"/>
  <c r="I71" i="43"/>
  <c r="G52" i="43"/>
  <c r="G71" i="43"/>
  <c r="H10" i="22" l="1"/>
  <c r="D111" i="21" l="1"/>
  <c r="D123" i="21" l="1"/>
  <c r="D127" i="21"/>
  <c r="D125" i="21"/>
  <c r="D126" i="21"/>
  <c r="D124" i="21"/>
  <c r="B138" i="22" l="1"/>
  <c r="B139" i="22"/>
  <c r="C142" i="22" l="1"/>
  <c r="C144" i="22"/>
  <c r="C146" i="22"/>
  <c r="C143" i="22"/>
  <c r="C145" i="22"/>
  <c r="B145" i="22"/>
  <c r="B143" i="22"/>
  <c r="B146" i="22"/>
  <c r="B144" i="22"/>
  <c r="B142" i="22"/>
  <c r="J135" i="22"/>
  <c r="J136" i="22"/>
  <c r="J137" i="22"/>
  <c r="J140" i="22"/>
  <c r="J134" i="22"/>
  <c r="I135" i="22"/>
  <c r="I136" i="22"/>
  <c r="I137" i="22"/>
  <c r="I140" i="22"/>
  <c r="I134" i="22"/>
  <c r="B134" i="22"/>
  <c r="B135" i="22"/>
  <c r="B140" i="22"/>
  <c r="B137" i="22"/>
  <c r="B136" i="22"/>
  <c r="J131" i="22"/>
  <c r="J129" i="22"/>
  <c r="J130" i="22"/>
  <c r="J128" i="22"/>
  <c r="J127" i="22"/>
  <c r="J92" i="22"/>
  <c r="J89" i="22"/>
  <c r="J90" i="22"/>
  <c r="J91" i="22"/>
  <c r="J88" i="22"/>
  <c r="E9" i="27"/>
  <c r="E8" i="27"/>
  <c r="E11" i="27"/>
  <c r="E10" i="27"/>
  <c r="E142" i="22" l="1"/>
  <c r="E7" i="27"/>
  <c r="H159" i="22" l="1"/>
  <c r="H158" i="22"/>
  <c r="H157" i="22"/>
  <c r="F157" i="22"/>
  <c r="E157" i="22" s="1"/>
  <c r="H156" i="22"/>
  <c r="H155" i="22"/>
  <c r="D131" i="22"/>
  <c r="H131" i="22" s="1"/>
  <c r="D130" i="22"/>
  <c r="H130" i="22" s="1"/>
  <c r="D129" i="22"/>
  <c r="D128" i="22"/>
  <c r="Q127" i="22"/>
  <c r="H127" i="22"/>
  <c r="N126" i="22"/>
  <c r="O126" i="22" s="1"/>
  <c r="H126" i="22"/>
  <c r="E126" i="22"/>
  <c r="H125" i="22"/>
  <c r="E125" i="22"/>
  <c r="H124" i="22"/>
  <c r="E124" i="22"/>
  <c r="N123" i="22"/>
  <c r="O123" i="22" s="1"/>
  <c r="H123" i="22"/>
  <c r="E123" i="22"/>
  <c r="R122" i="22"/>
  <c r="H122" i="22"/>
  <c r="E122" i="22"/>
  <c r="H121" i="22"/>
  <c r="E121" i="22"/>
  <c r="H120" i="22"/>
  <c r="E120" i="22"/>
  <c r="P119" i="22"/>
  <c r="H119" i="22"/>
  <c r="E119" i="22"/>
  <c r="H118" i="22"/>
  <c r="E118" i="22"/>
  <c r="H117" i="22"/>
  <c r="E117" i="22"/>
  <c r="H116" i="22"/>
  <c r="E116" i="22"/>
  <c r="H115" i="22"/>
  <c r="H114" i="22"/>
  <c r="P113" i="22"/>
  <c r="H113" i="22"/>
  <c r="E113" i="22"/>
  <c r="H112" i="22"/>
  <c r="F112" i="22"/>
  <c r="E112" i="22"/>
  <c r="H111" i="22"/>
  <c r="F111" i="22"/>
  <c r="N124" i="22" s="1"/>
  <c r="O124" i="22" s="1"/>
  <c r="E111" i="22"/>
  <c r="H110" i="22"/>
  <c r="E110" i="22"/>
  <c r="H109" i="22"/>
  <c r="E109" i="22"/>
  <c r="H108" i="22"/>
  <c r="E108" i="22"/>
  <c r="H107" i="22"/>
  <c r="E107" i="22"/>
  <c r="H106" i="22"/>
  <c r="E106" i="22"/>
  <c r="H105" i="22"/>
  <c r="E105" i="22"/>
  <c r="H104" i="22"/>
  <c r="E104" i="22"/>
  <c r="H103" i="22"/>
  <c r="E103" i="22"/>
  <c r="H102" i="22"/>
  <c r="E102" i="22"/>
  <c r="H101" i="22"/>
  <c r="E101" i="22"/>
  <c r="H100" i="22"/>
  <c r="E100" i="22"/>
  <c r="H98" i="22"/>
  <c r="C98" i="22"/>
  <c r="H97" i="22"/>
  <c r="H96" i="22"/>
  <c r="H95" i="22"/>
  <c r="E94" i="22"/>
  <c r="H93" i="22"/>
  <c r="F93" i="22"/>
  <c r="E93" i="22" s="1"/>
  <c r="H92" i="22"/>
  <c r="F92" i="22"/>
  <c r="E92" i="22" s="1"/>
  <c r="H91" i="22"/>
  <c r="E91" i="22"/>
  <c r="H90" i="22"/>
  <c r="F90" i="22"/>
  <c r="E90" i="22" s="1"/>
  <c r="H89" i="22"/>
  <c r="F89" i="22"/>
  <c r="E89" i="22" s="1"/>
  <c r="F88" i="22"/>
  <c r="D88" i="22"/>
  <c r="H88" i="22" s="1"/>
  <c r="H87" i="22"/>
  <c r="E87" i="22"/>
  <c r="H86" i="22"/>
  <c r="F86" i="22"/>
  <c r="E86" i="22" s="1"/>
  <c r="H85" i="22"/>
  <c r="F85" i="22"/>
  <c r="E85" i="22" s="1"/>
  <c r="H84" i="22"/>
  <c r="F84" i="22"/>
  <c r="E84" i="22" s="1"/>
  <c r="H83" i="22"/>
  <c r="F83" i="22"/>
  <c r="E83" i="22" s="1"/>
  <c r="H82" i="22"/>
  <c r="E82" i="22"/>
  <c r="H81" i="22"/>
  <c r="E81" i="22"/>
  <c r="H80" i="22"/>
  <c r="E80" i="22"/>
  <c r="H79" i="22"/>
  <c r="E79" i="22"/>
  <c r="H78" i="22"/>
  <c r="E78" i="22"/>
  <c r="H77" i="22"/>
  <c r="E77" i="22"/>
  <c r="H76" i="22"/>
  <c r="E76" i="22"/>
  <c r="H75" i="22"/>
  <c r="E75" i="22"/>
  <c r="H74" i="22"/>
  <c r="E74" i="22"/>
  <c r="D71" i="22"/>
  <c r="H71" i="22" s="1"/>
  <c r="H70" i="22"/>
  <c r="E70" i="22"/>
  <c r="H69" i="22"/>
  <c r="E69" i="22"/>
  <c r="H68" i="22"/>
  <c r="E68" i="22"/>
  <c r="H67" i="22"/>
  <c r="E67" i="22"/>
  <c r="H66" i="22"/>
  <c r="E66" i="22"/>
  <c r="H65" i="22"/>
  <c r="E65" i="22"/>
  <c r="H64" i="22"/>
  <c r="E64" i="22"/>
  <c r="H63" i="22"/>
  <c r="E63" i="22"/>
  <c r="H62" i="22"/>
  <c r="E62" i="22"/>
  <c r="H61" i="22"/>
  <c r="E61" i="22"/>
  <c r="H60" i="22"/>
  <c r="E60" i="22"/>
  <c r="H59" i="22"/>
  <c r="E59" i="22"/>
  <c r="H58" i="22"/>
  <c r="E58" i="22"/>
  <c r="H57" i="22"/>
  <c r="E57" i="22"/>
  <c r="H56" i="22"/>
  <c r="E56" i="22"/>
  <c r="H55" i="22"/>
  <c r="E55" i="22"/>
  <c r="H54" i="22"/>
  <c r="E54" i="22"/>
  <c r="H53" i="22"/>
  <c r="E53" i="22"/>
  <c r="H52" i="22"/>
  <c r="E52" i="22"/>
  <c r="H51" i="22"/>
  <c r="E51" i="22"/>
  <c r="H50" i="22"/>
  <c r="E50" i="22"/>
  <c r="H49" i="22"/>
  <c r="E49" i="22"/>
  <c r="H48" i="22"/>
  <c r="E48" i="22"/>
  <c r="H47" i="22"/>
  <c r="E47" i="22"/>
  <c r="H46" i="22"/>
  <c r="E46" i="22"/>
  <c r="H45" i="22"/>
  <c r="E45" i="22"/>
  <c r="H44" i="22"/>
  <c r="E44" i="22"/>
  <c r="H43" i="22"/>
  <c r="E43" i="22"/>
  <c r="H42" i="22"/>
  <c r="E42" i="22"/>
  <c r="H41" i="22"/>
  <c r="E41" i="22"/>
  <c r="H40" i="22"/>
  <c r="E40" i="22"/>
  <c r="H39" i="22"/>
  <c r="E39" i="22"/>
  <c r="H38" i="22"/>
  <c r="E38" i="22"/>
  <c r="D145" i="22"/>
  <c r="D143" i="22"/>
  <c r="D146" i="22"/>
  <c r="D144" i="22"/>
  <c r="E144" i="22" s="1"/>
  <c r="H142" i="22"/>
  <c r="H151" i="22"/>
  <c r="E151" i="22"/>
  <c r="H150" i="22"/>
  <c r="E150" i="22"/>
  <c r="H149" i="22"/>
  <c r="E149" i="22"/>
  <c r="H148" i="22"/>
  <c r="E148" i="22"/>
  <c r="H147" i="22"/>
  <c r="E147" i="22"/>
  <c r="H37" i="22"/>
  <c r="E37" i="22"/>
  <c r="H36" i="22"/>
  <c r="E36" i="22"/>
  <c r="H35" i="22"/>
  <c r="E35" i="22"/>
  <c r="H34" i="22"/>
  <c r="E34" i="22"/>
  <c r="H33" i="22"/>
  <c r="E33" i="22"/>
  <c r="H32" i="22"/>
  <c r="E32" i="22"/>
  <c r="H31" i="22"/>
  <c r="E31" i="22"/>
  <c r="H30" i="22"/>
  <c r="E30" i="22"/>
  <c r="H29" i="22"/>
  <c r="E29" i="22"/>
  <c r="H28" i="22"/>
  <c r="E28" i="22"/>
  <c r="H27" i="22"/>
  <c r="E27" i="22"/>
  <c r="H26" i="22"/>
  <c r="E26" i="22"/>
  <c r="H25" i="22"/>
  <c r="E25" i="22"/>
  <c r="H24" i="22"/>
  <c r="E24" i="22"/>
  <c r="H23" i="22"/>
  <c r="E23" i="22"/>
  <c r="H22" i="22"/>
  <c r="E22" i="22"/>
  <c r="H21" i="22"/>
  <c r="E21" i="22"/>
  <c r="H20" i="22"/>
  <c r="E20" i="22"/>
  <c r="H19" i="22"/>
  <c r="E19" i="22"/>
  <c r="H18" i="22"/>
  <c r="E18" i="22"/>
  <c r="H17" i="22"/>
  <c r="E17" i="22"/>
  <c r="H16" i="22"/>
  <c r="E16" i="22"/>
  <c r="H15" i="22"/>
  <c r="E15" i="22"/>
  <c r="H14" i="22"/>
  <c r="E14" i="22"/>
  <c r="H13" i="22"/>
  <c r="E13" i="22"/>
  <c r="H12" i="22"/>
  <c r="E12" i="22"/>
  <c r="H11" i="22"/>
  <c r="E11" i="22"/>
  <c r="E10" i="22"/>
  <c r="H9" i="22"/>
  <c r="E9" i="22"/>
  <c r="H8" i="22"/>
  <c r="E8" i="22"/>
  <c r="H7" i="22"/>
  <c r="E7" i="22"/>
  <c r="H6" i="22"/>
  <c r="E6" i="22"/>
  <c r="H5" i="22"/>
  <c r="E5" i="22"/>
  <c r="H4" i="22"/>
  <c r="E4" i="22"/>
  <c r="D159" i="21"/>
  <c r="D7" i="21"/>
  <c r="H143" i="22" l="1"/>
  <c r="E143" i="22"/>
  <c r="H145" i="22"/>
  <c r="E145" i="22"/>
  <c r="H146" i="22"/>
  <c r="E146" i="22"/>
  <c r="H129" i="22"/>
  <c r="H128" i="22"/>
  <c r="D72" i="22"/>
  <c r="D73" i="22"/>
  <c r="H73" i="22" s="1"/>
  <c r="P120" i="22"/>
  <c r="P121" i="22" s="1"/>
  <c r="P122" i="22" s="1"/>
  <c r="O127" i="22"/>
  <c r="E88" i="22"/>
  <c r="H144" i="22"/>
  <c r="E71" i="22"/>
  <c r="E72" i="22" l="1"/>
  <c r="E73" i="22"/>
  <c r="H72" i="22"/>
  <c r="P127" i="22"/>
</calcChain>
</file>

<file path=xl/sharedStrings.xml><?xml version="1.0" encoding="utf-8"?>
<sst xmlns="http://schemas.openxmlformats.org/spreadsheetml/2006/main" count="868" uniqueCount="463">
  <si>
    <t>m²</t>
  </si>
  <si>
    <t>Masinad</t>
  </si>
  <si>
    <t>Kogus</t>
  </si>
  <si>
    <t>Jõudlus</t>
  </si>
  <si>
    <t>Materjalid</t>
  </si>
  <si>
    <t>Greider</t>
  </si>
  <si>
    <t>Hind</t>
  </si>
  <si>
    <t>Veduk</t>
  </si>
  <si>
    <t>Veepaak</t>
  </si>
  <si>
    <t>Buldooser</t>
  </si>
  <si>
    <t>m³</t>
  </si>
  <si>
    <t>Veo hind</t>
  </si>
  <si>
    <t>GWP</t>
  </si>
  <si>
    <t>Maht</t>
  </si>
  <si>
    <t>Võimsus</t>
  </si>
  <si>
    <t>Stage</t>
  </si>
  <si>
    <t>Gudronaator</t>
  </si>
  <si>
    <t>Eelsöötja</t>
  </si>
  <si>
    <t>Autorong</t>
  </si>
  <si>
    <t>Käru 1</t>
  </si>
  <si>
    <t>Koorem</t>
  </si>
  <si>
    <t>Euro</t>
  </si>
  <si>
    <t>EPD</t>
  </si>
  <si>
    <t>Nimetus</t>
  </si>
  <si>
    <t>Ühik</t>
  </si>
  <si>
    <t>GWP, kg/kg</t>
  </si>
  <si>
    <t>Alumiinium (esmane)</t>
  </si>
  <si>
    <t>kg</t>
  </si>
  <si>
    <t>Vask</t>
  </si>
  <si>
    <t>Roostevaba metall</t>
  </si>
  <si>
    <t>Teras</t>
  </si>
  <si>
    <t>Malm</t>
  </si>
  <si>
    <t>Zn-teras</t>
  </si>
  <si>
    <t>Plasttooted</t>
  </si>
  <si>
    <t>Värvid</t>
  </si>
  <si>
    <t>Saematerjal (fossiilne)</t>
  </si>
  <si>
    <t>Saematerjal, immutatud</t>
  </si>
  <si>
    <t>Killustikud</t>
  </si>
  <si>
    <t>Tardkivikillustik,ridamaterjal</t>
  </si>
  <si>
    <t>Tardkivikillustik, fraktsineeritud</t>
  </si>
  <si>
    <t>Tardkivikillustik, purustatud</t>
  </si>
  <si>
    <t>Paekivi,ridamaterjal</t>
  </si>
  <si>
    <t>Paekivi, fraktsineeritud</t>
  </si>
  <si>
    <t>Paekivi, purustatud</t>
  </si>
  <si>
    <t>Kruusad</t>
  </si>
  <si>
    <t>Kruus, ridamaterjal</t>
  </si>
  <si>
    <t>Kruus, fraktsineeritud</t>
  </si>
  <si>
    <t>Kruus, purustatud</t>
  </si>
  <si>
    <t>Liivad</t>
  </si>
  <si>
    <t>Looduslik liiv</t>
  </si>
  <si>
    <t>Pestud liiv</t>
  </si>
  <si>
    <t>Pumbatud liiv</t>
  </si>
  <si>
    <t>Sõelutud liiv</t>
  </si>
  <si>
    <t>Veealune liiv</t>
  </si>
  <si>
    <t>Taaskasutus</t>
  </si>
  <si>
    <t>Purustatud vahtklaas killustik</t>
  </si>
  <si>
    <t>Vahtklaasist isolatsioon</t>
  </si>
  <si>
    <t>Purustatud betoon</t>
  </si>
  <si>
    <t>Purustatud betoon (Objektil)</t>
  </si>
  <si>
    <t>Purustatud tellis</t>
  </si>
  <si>
    <t>Purustatud tellis (kohapeal)</t>
  </si>
  <si>
    <t>Autorehvid</t>
  </si>
  <si>
    <t>tk</t>
  </si>
  <si>
    <t>Kiviliiv</t>
  </si>
  <si>
    <t>Aheraine</t>
  </si>
  <si>
    <t>Koldetuhk</t>
  </si>
  <si>
    <t>Lendtuhk</t>
  </si>
  <si>
    <t>Geosünteedid</t>
  </si>
  <si>
    <t>Geotekstiil</t>
  </si>
  <si>
    <t>Bentoniitmatt</t>
  </si>
  <si>
    <t>Geovõrk, PP</t>
  </si>
  <si>
    <t>Geovõrk, PET</t>
  </si>
  <si>
    <t>Drenaažmatt</t>
  </si>
  <si>
    <t xml:space="preserve">Terasvõrk </t>
  </si>
  <si>
    <t>Betoonsegud</t>
  </si>
  <si>
    <t>Muldniiskuse betoon C16/20</t>
  </si>
  <si>
    <t>Muldniiskuse betoon C16/20 (kg)</t>
  </si>
  <si>
    <t>Valmisbetoon, C20/25</t>
  </si>
  <si>
    <t>Valmisbetoon, C20/25 (kg)</t>
  </si>
  <si>
    <t>Valmisbetoon, C25/30</t>
  </si>
  <si>
    <t>Valmisbetoon, C25/30 (kg)</t>
  </si>
  <si>
    <t>Valmisbetoon, C30/37</t>
  </si>
  <si>
    <t>Valmisbetoon, C30/37 (kg)</t>
  </si>
  <si>
    <t>Valmisbetoon, C35/45</t>
  </si>
  <si>
    <t>Valmisbetoon, C35/45 (kg)</t>
  </si>
  <si>
    <t>Valmisbetoon, C45/55</t>
  </si>
  <si>
    <t>Valmisbetoon, C45/55 (kg)</t>
  </si>
  <si>
    <t>Valmisbetoon, C50/60</t>
  </si>
  <si>
    <t>Valmisbetoon, C50/60 (kg)</t>
  </si>
  <si>
    <t>Raudbetoontooted (kg)</t>
  </si>
  <si>
    <t>Sillutised &amp; äärekivid &amp; rennid</t>
  </si>
  <si>
    <t>Gr.sillutised &amp; äärekivid, Hiina (koos transpordiga)</t>
  </si>
  <si>
    <t>Gr.sillutised &amp; äärekivid Soome (ilma traspordita)</t>
  </si>
  <si>
    <t>Bet. Sillutised &amp; äärekivid</t>
  </si>
  <si>
    <t>Kotiliiv</t>
  </si>
  <si>
    <t>Truubid &amp; torud</t>
  </si>
  <si>
    <t>Plast Truubid &amp; torud</t>
  </si>
  <si>
    <t>Betoontruup, armeeritud betoontooted</t>
  </si>
  <si>
    <t>Allavoolutorud roostevaba metall</t>
  </si>
  <si>
    <t xml:space="preserve">Teras truup </t>
  </si>
  <si>
    <t>Malmtoru</t>
  </si>
  <si>
    <t>Tsink-epoksiid</t>
  </si>
  <si>
    <t>Epoksiid</t>
  </si>
  <si>
    <t>Polüuretaanvärv (pealmine kiht)</t>
  </si>
  <si>
    <t>Elekter</t>
  </si>
  <si>
    <t>Kaablikaitsetoru, plast</t>
  </si>
  <si>
    <t>Paigalduskaabel, segumaterjalid</t>
  </si>
  <si>
    <t xml:space="preserve">Kontaktjuhe, Cu </t>
  </si>
  <si>
    <t>Kontaktjuhe, Al</t>
  </si>
  <si>
    <t>Valguspost, Zn</t>
  </si>
  <si>
    <t>Liikluskorraldus</t>
  </si>
  <si>
    <t xml:space="preserve">Liiklusmärk &amp; post (Zn) </t>
  </si>
  <si>
    <t>Liiklusmärk, vineer</t>
  </si>
  <si>
    <t>Liiklusmärk, vundament</t>
  </si>
  <si>
    <t>Põrkepiirded &amp; torupiirded, Zn</t>
  </si>
  <si>
    <t>Müraseinad Sandwich, Zn</t>
  </si>
  <si>
    <t>Märgi kile</t>
  </si>
  <si>
    <t>Tähispost</t>
  </si>
  <si>
    <t>Termovaluplastik</t>
  </si>
  <si>
    <t>Külm pritsplastik</t>
  </si>
  <si>
    <t>Külm valuplastik</t>
  </si>
  <si>
    <t>Värv</t>
  </si>
  <si>
    <t>Haljastus</t>
  </si>
  <si>
    <t>Piduhake</t>
  </si>
  <si>
    <t>Puidu koor</t>
  </si>
  <si>
    <t>Turvas (ei sisalda lagunevaid aineid)</t>
  </si>
  <si>
    <t>Mullaparanduslubi</t>
  </si>
  <si>
    <t>Väetis N</t>
  </si>
  <si>
    <t>Terasaed &amp; post</t>
  </si>
  <si>
    <t>Kunstmuru</t>
  </si>
  <si>
    <t>Puu kaitserest</t>
  </si>
  <si>
    <t>Metall</t>
  </si>
  <si>
    <t>Terasarmatuur</t>
  </si>
  <si>
    <t>Terastraat punutiste jaoks</t>
  </si>
  <si>
    <t>Terasplekk, töödeldud</t>
  </si>
  <si>
    <t>Puitplaadid</t>
  </si>
  <si>
    <t>Vineer</t>
  </si>
  <si>
    <t>Vineer, kaetud</t>
  </si>
  <si>
    <t>Puitlaastplaat OSB</t>
  </si>
  <si>
    <t>Liimpuit CLT</t>
  </si>
  <si>
    <t>Puitvai (d=150 mm)</t>
  </si>
  <si>
    <t>Puitvai (d=150 mm), immutatud</t>
  </si>
  <si>
    <t>Isolatsioon</t>
  </si>
  <si>
    <t>Kile, PE</t>
  </si>
  <si>
    <t>EPS plaat</t>
  </si>
  <si>
    <t>Polüuretaanist isolatsioon</t>
  </si>
  <si>
    <t>Hermeetik, silikoon</t>
  </si>
  <si>
    <t>Bituumen hürdoisolatsioon</t>
  </si>
  <si>
    <t>Kummibituumen, kahekihiline</t>
  </si>
  <si>
    <t>Kuivsegud</t>
  </si>
  <si>
    <t>Mört, parandusmört REP 45</t>
  </si>
  <si>
    <t xml:space="preserve"> kg</t>
  </si>
  <si>
    <t>Mört, tasandusmört REP 970</t>
  </si>
  <si>
    <t>Mört, JB 600/3 jootemört C50/60-4</t>
  </si>
  <si>
    <t>Mört, RL 45 Pihustusremondimört C35/45-4</t>
  </si>
  <si>
    <t>Betoonvundamendi plokk, armeerimata</t>
  </si>
  <si>
    <t>Raudbetoon</t>
  </si>
  <si>
    <t>Põletatud tellis</t>
  </si>
  <si>
    <t>Betoonrööbastee liiprid, tüüp BP99</t>
  </si>
  <si>
    <t>trammiliini betoonist alusplaat</t>
  </si>
  <si>
    <t>Raudtee element</t>
  </si>
  <si>
    <t>Puidust liiper</t>
  </si>
  <si>
    <t>Ballast killustik</t>
  </si>
  <si>
    <t>Raudteerööbas</t>
  </si>
  <si>
    <t>rööbastee, 54E1A2 (45% taaskasutatud ja 55% toodetud)</t>
  </si>
  <si>
    <t>Pöörmed,  terasest</t>
  </si>
  <si>
    <t>KHG KKÕ</t>
  </si>
  <si>
    <t>Masina tüüp</t>
  </si>
  <si>
    <t>Mudel</t>
  </si>
  <si>
    <t>Kaal</t>
  </si>
  <si>
    <t>Tootlikus</t>
  </si>
  <si>
    <t>Tunnis</t>
  </si>
  <si>
    <t>Kasutegur</t>
  </si>
  <si>
    <t>Raske kütteõli (kg)</t>
  </si>
  <si>
    <t>KHG Diisli</t>
  </si>
  <si>
    <t>Ekskavaator</t>
  </si>
  <si>
    <t>KHG Bensiin</t>
  </si>
  <si>
    <t>LNG/Maagaas</t>
  </si>
  <si>
    <t>LPG</t>
  </si>
  <si>
    <t>HVO</t>
  </si>
  <si>
    <t>Keskmine EU el.</t>
  </si>
  <si>
    <t xml:space="preserve">Taastuvelekter </t>
  </si>
  <si>
    <t>Ratasekskavaator</t>
  </si>
  <si>
    <t>M314</t>
  </si>
  <si>
    <t>M316</t>
  </si>
  <si>
    <t>M318</t>
  </si>
  <si>
    <t>Kopplaadur</t>
  </si>
  <si>
    <t>Frontaallaadur</t>
  </si>
  <si>
    <t>Minilaadur</t>
  </si>
  <si>
    <t>226D</t>
  </si>
  <si>
    <t>272D</t>
  </si>
  <si>
    <t>270D</t>
  </si>
  <si>
    <t>Kubota M6-111</t>
  </si>
  <si>
    <t>JCB FASTRAC 4220</t>
  </si>
  <si>
    <t>JCB FASTRAC 8330</t>
  </si>
  <si>
    <t>MF 6713</t>
  </si>
  <si>
    <t>MF 8735</t>
  </si>
  <si>
    <t>D1</t>
  </si>
  <si>
    <t>D2</t>
  </si>
  <si>
    <t>D3</t>
  </si>
  <si>
    <t>D4</t>
  </si>
  <si>
    <t>D5</t>
  </si>
  <si>
    <t>D6</t>
  </si>
  <si>
    <t>D7</t>
  </si>
  <si>
    <t>D8</t>
  </si>
  <si>
    <t>D9</t>
  </si>
  <si>
    <t>D10</t>
  </si>
  <si>
    <t>D11</t>
  </si>
  <si>
    <t>Pinnasetihendaja</t>
  </si>
  <si>
    <t>CP5</t>
  </si>
  <si>
    <t>CP7</t>
  </si>
  <si>
    <t>CS10</t>
  </si>
  <si>
    <t>CS11</t>
  </si>
  <si>
    <t>CS12</t>
  </si>
  <si>
    <t>CS14</t>
  </si>
  <si>
    <t>CS16</t>
  </si>
  <si>
    <t>CS19</t>
  </si>
  <si>
    <t>Frees</t>
  </si>
  <si>
    <t>PM310</t>
  </si>
  <si>
    <t>PM313</t>
  </si>
  <si>
    <t>PM620</t>
  </si>
  <si>
    <t>PM820</t>
  </si>
  <si>
    <t>RM822</t>
  </si>
  <si>
    <t>Stabilisaator</t>
  </si>
  <si>
    <t>WR 240</t>
  </si>
  <si>
    <t>WR250</t>
  </si>
  <si>
    <t>WS250</t>
  </si>
  <si>
    <t>Tsemendi laoturid</t>
  </si>
  <si>
    <t>SW 10 TA</t>
  </si>
  <si>
    <t>SW 112 TC</t>
  </si>
  <si>
    <t>SW 218 TC</t>
  </si>
  <si>
    <t>Purusti</t>
  </si>
  <si>
    <t>Finlay C-1540</t>
  </si>
  <si>
    <t>Finlay C-1540RS</t>
  </si>
  <si>
    <t>Finlay C1554</t>
  </si>
  <si>
    <t>Finlay I-140</t>
  </si>
  <si>
    <t>Finlay J-1160</t>
  </si>
  <si>
    <t>McCloskey J40</t>
  </si>
  <si>
    <t>McCloskey J50</t>
  </si>
  <si>
    <t>Metso LT 96</t>
  </si>
  <si>
    <t>Metso LT 220</t>
  </si>
  <si>
    <t>Sõel</t>
  </si>
  <si>
    <t>Finlay 683</t>
  </si>
  <si>
    <t>Finlay 674</t>
  </si>
  <si>
    <t>Finlay 694</t>
  </si>
  <si>
    <t>Finlay 984</t>
  </si>
  <si>
    <t>PS Warrior 2100</t>
  </si>
  <si>
    <t>Metso ST2.875+100kw</t>
  </si>
  <si>
    <t>McCloskey R70</t>
  </si>
  <si>
    <t>McCloskey R155</t>
  </si>
  <si>
    <t>McCloskey R230</t>
  </si>
  <si>
    <t>McCloskey S130</t>
  </si>
  <si>
    <t>McCloskey S230</t>
  </si>
  <si>
    <t>Pumpamine/ pesemine</t>
  </si>
  <si>
    <t>ASP 14/12GG</t>
  </si>
  <si>
    <t>ASP 16/14GG</t>
  </si>
  <si>
    <t>ASP 16/14TU</t>
  </si>
  <si>
    <t>ASP 18/16GG</t>
  </si>
  <si>
    <t>Pesemine</t>
  </si>
  <si>
    <t>Fraccaroli&amp;Balzani FB 1500 4P-120</t>
  </si>
  <si>
    <t>Flokulant AN910MF (0.0001/1) 75kgCO2/kg</t>
  </si>
  <si>
    <t>MT3000</t>
  </si>
  <si>
    <t xml:space="preserve">WR MT 3000-2i  </t>
  </si>
  <si>
    <t xml:space="preserve">Asf.laotur </t>
  </si>
  <si>
    <t>AP455</t>
  </si>
  <si>
    <t>AP655</t>
  </si>
  <si>
    <t>AP105</t>
  </si>
  <si>
    <t>0.9m</t>
  </si>
  <si>
    <t>1.33m</t>
  </si>
  <si>
    <t>2.5m</t>
  </si>
  <si>
    <t>2.55m</t>
  </si>
  <si>
    <t>3.0m</t>
  </si>
  <si>
    <t>Kuumuti</t>
  </si>
  <si>
    <t>Wirtgen HM 4500</t>
  </si>
  <si>
    <t>Põleti arvestus</t>
  </si>
  <si>
    <t>Wirtgen HM 1500</t>
  </si>
  <si>
    <t>Alg temp</t>
  </si>
  <si>
    <t>Remixer 1200</t>
  </si>
  <si>
    <t>Lõpp temp</t>
  </si>
  <si>
    <t>Remixer</t>
  </si>
  <si>
    <t>Remixer 4500</t>
  </si>
  <si>
    <r>
      <t>Δ</t>
    </r>
    <r>
      <rPr>
        <sz val="10.199999999999999"/>
        <color theme="1"/>
        <rFont val="Arial"/>
        <family val="2"/>
        <charset val="186"/>
      </rPr>
      <t>T</t>
    </r>
    <r>
      <rPr>
        <sz val="12"/>
        <color theme="1"/>
        <rFont val="Arial"/>
        <family val="2"/>
        <charset val="186"/>
      </rPr>
      <t>=</t>
    </r>
  </si>
  <si>
    <t>Külmsegur</t>
  </si>
  <si>
    <t>KMA220</t>
  </si>
  <si>
    <t>Kihi paksus</t>
  </si>
  <si>
    <t>KMA220i</t>
  </si>
  <si>
    <t>Asfalt tihedus=</t>
  </si>
  <si>
    <t>Asf.rull</t>
  </si>
  <si>
    <t>HD8</t>
  </si>
  <si>
    <t>Erisoojus asfalt=</t>
  </si>
  <si>
    <t>HD13</t>
  </si>
  <si>
    <t>Laius</t>
  </si>
  <si>
    <t>HD+70</t>
  </si>
  <si>
    <t>Pikkus</t>
  </si>
  <si>
    <t>HD+80</t>
  </si>
  <si>
    <t>m=</t>
  </si>
  <si>
    <t>HD+90</t>
  </si>
  <si>
    <t>Vajalik soojus Q=</t>
  </si>
  <si>
    <t>HD+110</t>
  </si>
  <si>
    <r>
      <t>Q</t>
    </r>
    <r>
      <rPr>
        <vertAlign val="subscript"/>
        <sz val="12"/>
        <color theme="1"/>
        <rFont val="Arial"/>
        <family val="2"/>
        <charset val="186"/>
      </rPr>
      <t>gaas</t>
    </r>
    <r>
      <rPr>
        <sz val="12"/>
        <color theme="1"/>
        <rFont val="Arial"/>
        <family val="2"/>
        <charset val="186"/>
      </rPr>
      <t>=</t>
    </r>
  </si>
  <si>
    <t>HD+140</t>
  </si>
  <si>
    <t>gaasi kulu (kg)=</t>
  </si>
  <si>
    <t>Pneumorull</t>
  </si>
  <si>
    <t>HD18</t>
  </si>
  <si>
    <t>Soojusvõimsus</t>
  </si>
  <si>
    <t>HD28</t>
  </si>
  <si>
    <t xml:space="preserve">DAF 75 </t>
  </si>
  <si>
    <t>Weiro TM800 SH</t>
  </si>
  <si>
    <t>Traktor</t>
  </si>
  <si>
    <t>Vibroplaat</t>
  </si>
  <si>
    <t>Puurseade</t>
  </si>
  <si>
    <t>Atlas Flexi ROC D50-10SF</t>
  </si>
  <si>
    <t>Atlas  ROC L6/25</t>
  </si>
  <si>
    <t>Sandvik DX700</t>
  </si>
  <si>
    <t>Sandvik DX 800</t>
  </si>
  <si>
    <t>Sandvik DI600</t>
  </si>
  <si>
    <t xml:space="preserve">Betoonipump </t>
  </si>
  <si>
    <t>Pumi 25</t>
  </si>
  <si>
    <t>Pumi 28</t>
  </si>
  <si>
    <t>Putzmeister M56</t>
  </si>
  <si>
    <t>Bituumen</t>
  </si>
  <si>
    <t>Laadur</t>
  </si>
  <si>
    <t>PKÕ</t>
  </si>
  <si>
    <t>RAP</t>
  </si>
  <si>
    <t>Treiler</t>
  </si>
  <si>
    <t>Poolhaage</t>
  </si>
  <si>
    <t>Multilift</t>
  </si>
  <si>
    <t>Tunni hind</t>
  </si>
  <si>
    <t>t*km (€)</t>
  </si>
  <si>
    <t>€/h</t>
  </si>
  <si>
    <t>Pinnas</t>
  </si>
  <si>
    <t>CFB</t>
  </si>
  <si>
    <t>€/kg</t>
  </si>
  <si>
    <t>Geokärg (HDPE)</t>
  </si>
  <si>
    <t>Plastkiud, PP (kg) betoonile</t>
  </si>
  <si>
    <t>Tsement</t>
  </si>
  <si>
    <t>Tsement, Kunda CEM I 42.5R</t>
  </si>
  <si>
    <t>Tsement, Kunda CEM I 52.5R</t>
  </si>
  <si>
    <t>Portland tsement, CEM I 42,5 R ja 52,5 N, Läti</t>
  </si>
  <si>
    <t>TAS 32.5</t>
  </si>
  <si>
    <t>Tsistern</t>
  </si>
  <si>
    <t>Dumper 26t</t>
  </si>
  <si>
    <t>Dumper 30t</t>
  </si>
  <si>
    <t>Dumper 35t</t>
  </si>
  <si>
    <t>Dumper 40t</t>
  </si>
  <si>
    <t>Dumper 45t</t>
  </si>
  <si>
    <t>Täishaage 17t</t>
  </si>
  <si>
    <t>Täishaage 13t</t>
  </si>
  <si>
    <t>AC 16 surf</t>
  </si>
  <si>
    <t>Laev</t>
  </si>
  <si>
    <t>Tardkivikillustik, TAU10/20</t>
  </si>
  <si>
    <t>Tardkivikillustik, TAU 8/16</t>
  </si>
  <si>
    <t>Tardkivikillustik, TAU 6/12</t>
  </si>
  <si>
    <t>Tardkivikillustik, TAU 4/8</t>
  </si>
  <si>
    <t>Tardkivikillustik, TAU 2/6</t>
  </si>
  <si>
    <t>Tardkivikillustik, TAU 0/5</t>
  </si>
  <si>
    <t>Tardkivikillustik, INKOO 10/20</t>
  </si>
  <si>
    <t>Tardkivikillustik, INKOO 8/16</t>
  </si>
  <si>
    <t>Tardkivikillustik, INKOO 6/12</t>
  </si>
  <si>
    <t>Tardkivikillustik, INKOO 4/8</t>
  </si>
  <si>
    <t>Tardkivikillustik, INKOO 2/6</t>
  </si>
  <si>
    <t>Tardkivikillustik, INKOO 0/5</t>
  </si>
  <si>
    <t>Asfalt materjalid</t>
  </si>
  <si>
    <t>PMB</t>
  </si>
  <si>
    <t>Filler</t>
  </si>
  <si>
    <t>SMA 8</t>
  </si>
  <si>
    <t>SMA 12</t>
  </si>
  <si>
    <t>SMA 16</t>
  </si>
  <si>
    <t>AC 8 surf</t>
  </si>
  <si>
    <t>AC 12 surf</t>
  </si>
  <si>
    <t>AC 20surf</t>
  </si>
  <si>
    <t>AC 8 bin</t>
  </si>
  <si>
    <t>AC 12 bin</t>
  </si>
  <si>
    <t>AC 16 bin</t>
  </si>
  <si>
    <t>AC 20 bin</t>
  </si>
  <si>
    <t>AC 16 base</t>
  </si>
  <si>
    <t>AC 20 base</t>
  </si>
  <si>
    <t>AC 32 base</t>
  </si>
  <si>
    <t>MSE16</t>
  </si>
  <si>
    <t>MSE20</t>
  </si>
  <si>
    <t>MSE32</t>
  </si>
  <si>
    <t>PA8</t>
  </si>
  <si>
    <t>PA12</t>
  </si>
  <si>
    <t>PA16</t>
  </si>
  <si>
    <t>MA8</t>
  </si>
  <si>
    <t>MA12</t>
  </si>
  <si>
    <t>Väo, 0/5</t>
  </si>
  <si>
    <t>Väo, 4/8</t>
  </si>
  <si>
    <t>Väo, 8/12</t>
  </si>
  <si>
    <t>Väo, 8/16</t>
  </si>
  <si>
    <t>Väo, 16/32</t>
  </si>
  <si>
    <t>Maagaas</t>
  </si>
  <si>
    <t>Diisel</t>
  </si>
  <si>
    <t>Bit 150/200</t>
  </si>
  <si>
    <t>Bit 100/150</t>
  </si>
  <si>
    <t>Bit 70/100</t>
  </si>
  <si>
    <t>1 karj._liiv</t>
  </si>
  <si>
    <t>2 karj._liiv</t>
  </si>
  <si>
    <t>3 karj._liiv</t>
  </si>
  <si>
    <t>Kruusliiv_1</t>
  </si>
  <si>
    <t>Kruusliiv_2</t>
  </si>
  <si>
    <t>Kruusliiv_3</t>
  </si>
  <si>
    <t>Ter tihedus</t>
  </si>
  <si>
    <t>Väo, 4/16</t>
  </si>
  <si>
    <t>Väo, 4/12</t>
  </si>
  <si>
    <t>RA 0/12</t>
  </si>
  <si>
    <t>RA 0/8</t>
  </si>
  <si>
    <t>Kütused</t>
  </si>
  <si>
    <t>L</t>
  </si>
  <si>
    <t>Biogaas</t>
  </si>
  <si>
    <t>kWh</t>
  </si>
  <si>
    <t>Biodiisel FAME</t>
  </si>
  <si>
    <t>Biodiisel HVO</t>
  </si>
  <si>
    <t>Biodiisel ME</t>
  </si>
  <si>
    <t>Bensiin</t>
  </si>
  <si>
    <t>Materjalide arvutus</t>
  </si>
  <si>
    <t>Karjäärimaterjalid</t>
  </si>
  <si>
    <t>Looduslik</t>
  </si>
  <si>
    <t>fr.0/32</t>
  </si>
  <si>
    <t>fr.16/32</t>
  </si>
  <si>
    <t>fr.4/32</t>
  </si>
  <si>
    <t>fr.0/05</t>
  </si>
  <si>
    <t>0/63</t>
  </si>
  <si>
    <t>0/80</t>
  </si>
  <si>
    <t>&gt; Ridakild&gt;</t>
  </si>
  <si>
    <t>0/90</t>
  </si>
  <si>
    <t>Sidumata segud</t>
  </si>
  <si>
    <t>&gt; Laadmine&gt;</t>
  </si>
  <si>
    <t>Paekivi killustikud</t>
  </si>
  <si>
    <t>Lõhatud paas&gt;</t>
  </si>
  <si>
    <t>Toode&gt;</t>
  </si>
  <si>
    <t>Lõhkamine</t>
  </si>
  <si>
    <t>Laadur&gt;</t>
  </si>
  <si>
    <t>Fraktsioneeritud</t>
  </si>
  <si>
    <t>Ekskavaator&gt;</t>
  </si>
  <si>
    <t>&gt; Eelpurusti&gt;</t>
  </si>
  <si>
    <t>&gt; Põhipurusti&gt;</t>
  </si>
  <si>
    <t>0/5&gt;</t>
  </si>
  <si>
    <t>&gt; Sõel&gt;</t>
  </si>
  <si>
    <t>&gt; Pesu&gt;</t>
  </si>
  <si>
    <t>Teoreetiline &gt;</t>
  </si>
  <si>
    <t>Arvutatud&gt;</t>
  </si>
  <si>
    <t>Tolm prügilasse&gt;</t>
  </si>
  <si>
    <t xml:space="preserve">&gt; Jäätmed põhitoodangu juurde. </t>
  </si>
  <si>
    <t>Tardkivi killustikud</t>
  </si>
  <si>
    <t>Kiviliiv &gt;</t>
  </si>
  <si>
    <t>CO2 kokku&gt;</t>
  </si>
  <si>
    <t>Kontroll&gt;</t>
  </si>
  <si>
    <t xml:space="preserve"> koos pesuga</t>
  </si>
  <si>
    <t>Laeva transport</t>
  </si>
  <si>
    <t>&gt;Jäätmete pesu&gt;</t>
  </si>
  <si>
    <t>Toodangud</t>
  </si>
  <si>
    <t>Prügilasse&gt;</t>
  </si>
  <si>
    <t>Frakts materjalid:</t>
  </si>
  <si>
    <t>&lt; lõhkamata</t>
  </si>
  <si>
    <t>Pestud paekiviliiv &gt;</t>
  </si>
  <si>
    <t>Jäätmed&gt;</t>
  </si>
  <si>
    <t>Ridakillustikud &gt;</t>
  </si>
  <si>
    <t>Sidumata segud&gt;</t>
  </si>
  <si>
    <t>Aheraine killustik</t>
  </si>
  <si>
    <t>Paekivi 0/5</t>
  </si>
  <si>
    <t>Põleti</t>
  </si>
  <si>
    <t>Killustikamtaerjali tootmine (3etapiline purustus) &gt;&gt;&gt;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</si>
</sst>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7">
    <numFmt numFmtId="164" formatCode="_-* #,##0\ _k_r_-;\-* #,##0\ _k_r_-;_-* &quot;-&quot;\ _k_r_-;_-@_-"/>
    <numFmt numFmtId="165" formatCode="#,##0;[Red]&quot;-&quot;#,##0"/>
    <numFmt numFmtId="166" formatCode="#,##0.0"/>
    <numFmt numFmtId="167" formatCode="#,##0&quot; t&quot;"/>
    <numFmt numFmtId="168" formatCode="#,##0&quot; km&quot;"/>
    <numFmt numFmtId="169" formatCode="#,##0&quot; h&quot;"/>
    <numFmt numFmtId="170" formatCode="#,##0&quot; m²/h&quot;"/>
    <numFmt numFmtId="171" formatCode="#,##0&quot; m³&quot;"/>
    <numFmt numFmtId="172" formatCode="#,##0&quot; m³/h&quot;"/>
    <numFmt numFmtId="173" formatCode="#,##0.00&quot; m³&quot;"/>
    <numFmt numFmtId="174" formatCode="#,##0.000&quot; €/tkm&quot;"/>
    <numFmt numFmtId="175" formatCode="#,##0&quot; t/h&quot;"/>
    <numFmt numFmtId="176" formatCode="#,##0&quot; kw&quot;"/>
    <numFmt numFmtId="178" formatCode="&quot;Veduk &quot;0&quot; t&quot;"/>
    <numFmt numFmtId="179" formatCode="&quot;Euro &quot;0"/>
    <numFmt numFmtId="180" formatCode="&quot;Stage &quot;0"/>
    <numFmt numFmtId="181" formatCode="#,##0.00&quot; t CO₂&quot;"/>
    <numFmt numFmtId="182" formatCode="#,##0.0&quot; t CO₂&quot;"/>
    <numFmt numFmtId="190" formatCode="0.00&quot; t&quot;"/>
    <numFmt numFmtId="193" formatCode="0.0"/>
    <numFmt numFmtId="195" formatCode="#,##0.000"/>
    <numFmt numFmtId="196" formatCode="#,##0.00&quot; kg CO₂e/kg&quot;"/>
    <numFmt numFmtId="197" formatCode="#,##0&quot; kW&quot;"/>
    <numFmt numFmtId="198" formatCode="#,##0.00&quot; kg CO₂e/l&quot;"/>
    <numFmt numFmtId="199" formatCode="0&quot;kW&quot;"/>
    <numFmt numFmtId="200" formatCode="#,##0.0&quot; m³&quot;"/>
    <numFmt numFmtId="201" formatCode="#,##0.0&quot; kg CO₂e/h&quot;"/>
    <numFmt numFmtId="202" formatCode="0.00000"/>
    <numFmt numFmtId="203" formatCode="#,##0.00&quot; kg CO₂e/m³&quot;"/>
    <numFmt numFmtId="204" formatCode="#,##0.00&quot; kg CO₂e/kWh&quot;"/>
    <numFmt numFmtId="205" formatCode="#,##0.000&quot; kg CO₂e/l&quot;"/>
    <numFmt numFmtId="206" formatCode="#,##0.000&quot; kg CO₂e/kWh&quot;"/>
    <numFmt numFmtId="207" formatCode="#,##0.0&quot; t&quot;"/>
    <numFmt numFmtId="208" formatCode="0&quot; kw&quot;"/>
    <numFmt numFmtId="209" formatCode="#,##0.00&quot; MJ/l&quot;"/>
    <numFmt numFmtId="210" formatCode="0.00&quot; MJ&quot;"/>
    <numFmt numFmtId="211" formatCode="#,##0.000&quot; kg/l&quot;"/>
    <numFmt numFmtId="212" formatCode="0.00&quot; MJ/kg&quot;"/>
    <numFmt numFmtId="213" formatCode="0.00&quot; Kwh/kg&quot;"/>
    <numFmt numFmtId="214" formatCode="#,##0.00&quot; kg/CO2&quot;"/>
    <numFmt numFmtId="215" formatCode="#,##0.0&quot; kg CO₂e/l&quot;"/>
    <numFmt numFmtId="216" formatCode="#,##0.0000&quot; kg CO₂e/kWh&quot;"/>
    <numFmt numFmtId="217" formatCode="#,##0.0000&quot; kg CO₂e/l&quot;"/>
    <numFmt numFmtId="218" formatCode="#,##0.0&quot; m&quot;"/>
    <numFmt numFmtId="219" formatCode="0.000000"/>
    <numFmt numFmtId="220" formatCode="#,##0.0&quot; kg CO₂e,/h&quot;"/>
    <numFmt numFmtId="221" formatCode="#,##0.0&quot; l/h&quot;"/>
    <numFmt numFmtId="222" formatCode="#,##0.0&quot; t/h&quot;"/>
    <numFmt numFmtId="223" formatCode="#,##0.000&quot; t/h&quot;"/>
    <numFmt numFmtId="224" formatCode="#,##0.0&quot; m²&quot;"/>
    <numFmt numFmtId="225" formatCode="0&quot; C&quot;"/>
    <numFmt numFmtId="226" formatCode="0.000&quot; m&quot;"/>
    <numFmt numFmtId="227" formatCode="0.00&quot; t/m³&quot;"/>
    <numFmt numFmtId="228" formatCode="0.00&quot; kJ/kgK&quot;"/>
    <numFmt numFmtId="229" formatCode="0.0&quot; m&quot;"/>
    <numFmt numFmtId="230" formatCode="0&quot; m&quot;"/>
    <numFmt numFmtId="231" formatCode="0&quot; kwh =&quot;"/>
    <numFmt numFmtId="232" formatCode="#,##0.00&quot; MJ&quot;"/>
    <numFmt numFmtId="233" formatCode="#,##0.000&quot; kg&quot;"/>
    <numFmt numFmtId="234" formatCode="#,##0&quot; m/min&quot;"/>
    <numFmt numFmtId="235" formatCode="#,##0&quot; m/h&quot;"/>
    <numFmt numFmtId="236" formatCode="#,##0.000&quot; kg/m²&quot;"/>
    <numFmt numFmtId="237" formatCode="#,##0&quot; kg/h&quot;"/>
    <numFmt numFmtId="238" formatCode="#,##0&quot; €/h&quot;"/>
    <numFmt numFmtId="239" formatCode="0.000"/>
    <numFmt numFmtId="240" formatCode="_-* #,##0.00\ _€_-;\-* #,##0.00\ _€_-;_-* &quot;-&quot;??\ _€_-;_-@_-"/>
    <numFmt numFmtId="242" formatCode="#,##0.0&quot; kg CO₂e/t&quot;"/>
    <numFmt numFmtId="243" formatCode="#,##0&quot; kg CO₂e/t&quot;"/>
    <numFmt numFmtId="244" formatCode="#,##0.00&quot; kg CO₂e&quot;"/>
    <numFmt numFmtId="245" formatCode="#,##0&quot; kg CO₂e/h&quot;"/>
    <numFmt numFmtId="246" formatCode="#,##0.00000"/>
    <numFmt numFmtId="248" formatCode="&quot;SMA &quot;0"/>
    <numFmt numFmtId="249" formatCode="&quot;AC&quot;0&quot; surf&quot;"/>
    <numFmt numFmtId="250" formatCode="&quot;AC&quot;0&quot; bin&quot;"/>
    <numFmt numFmtId="251" formatCode="&quot;AC&quot;0&quot; base&quot;"/>
    <numFmt numFmtId="252" formatCode="#,##0.000&quot; kg CO₂e/t&quot;"/>
    <numFmt numFmtId="254" formatCode="#,##0.00&quot; Mg/m³&quot;"/>
    <numFmt numFmtId="255" formatCode="#,##0.00&quot; %&quot;"/>
    <numFmt numFmtId="256" formatCode="#,##0.00&quot; kg/m³&quot;"/>
    <numFmt numFmtId="257" formatCode="&quot;Ekskavaator &quot;0&quot; kw&quot;"/>
    <numFmt numFmtId="258" formatCode="#,##0.00&quot; kg CO₂e/t&quot;"/>
    <numFmt numFmtId="259" formatCode="&quot;Transport &quot;0&quot; kw&quot;"/>
    <numFmt numFmtId="260" formatCode="&quot;Veomaa &quot;0&quot; km&quot;"/>
    <numFmt numFmtId="261" formatCode="&quot;Sõel &quot;0&quot; kw&quot;"/>
    <numFmt numFmtId="262" formatCode="&quot;Pump &quot;0&quot; kw&quot;"/>
    <numFmt numFmtId="263" formatCode="&quot;Pesur &quot;0&quot; kw&quot;"/>
    <numFmt numFmtId="264" formatCode="&quot;Laadur &quot;0&quot; kw&quot;"/>
    <numFmt numFmtId="265" formatCode="#,##0.00&quot; kg CO₂e/tkm&quot;"/>
    <numFmt numFmtId="266" formatCode="#,##0.000000&quot; kg CO₂e/kg&quot;"/>
    <numFmt numFmtId="267" formatCode="&quot;Purusti &quot;0&quot; kw&quot;"/>
    <numFmt numFmtId="268" formatCode="&quot;Segur &quot;0&quot; kw&quot;"/>
    <numFmt numFmtId="269" formatCode="&quot;Veduk &quot;0&quot; kw&quot;"/>
    <numFmt numFmtId="270" formatCode="#,##0&quot; %&quot;"/>
    <numFmt numFmtId="271" formatCode="#,##0&quot; kg CO₂e&quot;"/>
    <numFmt numFmtId="272" formatCode="&quot;Põleti &quot;0&quot; kw&quot;"/>
    <numFmt numFmtId="273" formatCode="#,##0.0000"/>
    <numFmt numFmtId="275" formatCode="#,##0.000&quot; kg CO₂&quot;"/>
  </numFmts>
  <fonts count="65">
    <font>
      <sz val="11"/>
      <color theme="1"/>
      <name val="Calibri"/>
      <family val="2"/>
      <charset val="186"/>
      <scheme val="minor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0"/>
      <name val="MS Sans Serif"/>
      <family val="2"/>
      <charset val="186"/>
    </font>
    <font>
      <sz val="10"/>
      <name val="Arial"/>
      <family val="2"/>
      <charset val="186"/>
    </font>
    <font>
      <sz val="10"/>
      <name val="Arial"/>
      <family val="2"/>
    </font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</font>
    <font>
      <sz val="11"/>
      <color indexed="9"/>
      <name val="Calibri"/>
      <family val="2"/>
      <charset val="186"/>
    </font>
    <font>
      <sz val="11"/>
      <color indexed="20"/>
      <name val="Calibri"/>
      <family val="2"/>
      <charset val="186"/>
    </font>
    <font>
      <b/>
      <sz val="11"/>
      <color indexed="52"/>
      <name val="Calibri"/>
      <family val="2"/>
      <charset val="186"/>
    </font>
    <font>
      <b/>
      <sz val="11"/>
      <color indexed="9"/>
      <name val="Calibri"/>
      <family val="2"/>
      <charset val="186"/>
    </font>
    <font>
      <i/>
      <sz val="11"/>
      <color indexed="23"/>
      <name val="Calibri"/>
      <family val="2"/>
      <charset val="186"/>
    </font>
    <font>
      <sz val="11"/>
      <color indexed="17"/>
      <name val="Calibri"/>
      <family val="2"/>
      <charset val="186"/>
    </font>
    <font>
      <b/>
      <sz val="15"/>
      <color indexed="56"/>
      <name val="Calibri"/>
      <family val="2"/>
      <charset val="186"/>
    </font>
    <font>
      <b/>
      <sz val="13"/>
      <color indexed="56"/>
      <name val="Calibri"/>
      <family val="2"/>
      <charset val="186"/>
    </font>
    <font>
      <b/>
      <sz val="11"/>
      <color indexed="56"/>
      <name val="Calibri"/>
      <family val="2"/>
      <charset val="186"/>
    </font>
    <font>
      <sz val="11"/>
      <color indexed="62"/>
      <name val="Calibri"/>
      <family val="2"/>
      <charset val="186"/>
    </font>
    <font>
      <sz val="11"/>
      <color indexed="52"/>
      <name val="Calibri"/>
      <family val="2"/>
      <charset val="186"/>
    </font>
    <font>
      <sz val="11"/>
      <color indexed="60"/>
      <name val="Calibri"/>
      <family val="2"/>
      <charset val="186"/>
    </font>
    <font>
      <b/>
      <sz val="11"/>
      <color indexed="63"/>
      <name val="Calibri"/>
      <family val="2"/>
      <charset val="186"/>
    </font>
    <font>
      <b/>
      <sz val="18"/>
      <color indexed="56"/>
      <name val="Cambria"/>
      <family val="2"/>
      <charset val="186"/>
    </font>
    <font>
      <b/>
      <sz val="11"/>
      <color indexed="8"/>
      <name val="Calibri"/>
      <family val="2"/>
      <charset val="186"/>
    </font>
    <font>
      <sz val="11"/>
      <color indexed="10"/>
      <name val="Calibri"/>
      <family val="2"/>
      <charset val="186"/>
    </font>
    <font>
      <sz val="10"/>
      <name val="Arial"/>
      <family val="2"/>
      <charset val="186"/>
    </font>
    <font>
      <sz val="10"/>
      <name val="Arial"/>
      <family val="2"/>
      <charset val="1"/>
    </font>
    <font>
      <sz val="11"/>
      <color theme="1"/>
      <name val="Calibri"/>
      <family val="2"/>
      <charset val="222"/>
      <scheme val="minor"/>
    </font>
    <font>
      <sz val="8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1"/>
      <name val="Arial"/>
      <family val="2"/>
      <charset val="186"/>
    </font>
    <font>
      <sz val="11"/>
      <color theme="1"/>
      <name val="Arial"/>
      <family val="2"/>
      <charset val="186"/>
    </font>
    <font>
      <sz val="10"/>
      <name val="Times New Roman"/>
      <family val="1"/>
      <charset val="186"/>
    </font>
    <font>
      <sz val="11"/>
      <color theme="1"/>
      <name val="Calibri"/>
      <family val="2"/>
      <scheme val="minor"/>
    </font>
    <font>
      <b/>
      <sz val="18"/>
      <color theme="1"/>
      <name val="Arial"/>
      <family val="2"/>
      <charset val="186"/>
    </font>
    <font>
      <b/>
      <sz val="12"/>
      <color rgb="FFFF0000"/>
      <name val="Arial"/>
      <family val="2"/>
      <charset val="186"/>
    </font>
    <font>
      <sz val="12"/>
      <color theme="1"/>
      <name val="Arial"/>
      <family val="2"/>
      <charset val="186"/>
    </font>
    <font>
      <b/>
      <sz val="16"/>
      <color rgb="FFFF0000"/>
      <name val="Arial"/>
      <family val="2"/>
      <charset val="186"/>
    </font>
    <font>
      <b/>
      <sz val="12"/>
      <color theme="1"/>
      <name val="Arial"/>
      <family val="2"/>
      <charset val="186"/>
    </font>
    <font>
      <sz val="12"/>
      <color rgb="FFFF0000"/>
      <name val="Arial"/>
      <family val="2"/>
      <charset val="186"/>
    </font>
    <font>
      <sz val="12"/>
      <name val="Arial"/>
      <family val="2"/>
      <charset val="186"/>
    </font>
    <font>
      <b/>
      <sz val="12"/>
      <name val="Arial"/>
      <family val="2"/>
      <charset val="186"/>
    </font>
    <font>
      <b/>
      <sz val="11"/>
      <name val="Arial"/>
      <family val="2"/>
      <charset val="186"/>
    </font>
    <font>
      <sz val="11"/>
      <color rgb="FFFF0000"/>
      <name val="Arial"/>
      <family val="2"/>
      <charset val="186"/>
    </font>
    <font>
      <sz val="11"/>
      <color rgb="FF0070C0"/>
      <name val="Arial"/>
      <family val="2"/>
      <charset val="186"/>
    </font>
    <font>
      <b/>
      <sz val="11"/>
      <name val="Myriad Pro"/>
      <family val="2"/>
    </font>
    <font>
      <sz val="11"/>
      <name val="Myriad Pro"/>
      <family val="2"/>
    </font>
    <font>
      <b/>
      <sz val="11"/>
      <name val="Myriad Pro"/>
    </font>
    <font>
      <b/>
      <i/>
      <sz val="12"/>
      <name val="Arial"/>
      <family val="2"/>
      <charset val="186"/>
    </font>
    <font>
      <b/>
      <i/>
      <sz val="12"/>
      <color theme="1"/>
      <name val="Arial"/>
      <family val="2"/>
      <charset val="186"/>
    </font>
    <font>
      <b/>
      <sz val="11"/>
      <color theme="1"/>
      <name val="Arial"/>
      <family val="2"/>
      <charset val="186"/>
    </font>
    <font>
      <sz val="12"/>
      <color rgb="FF0070C0"/>
      <name val="Arial"/>
      <family val="2"/>
      <charset val="186"/>
    </font>
    <font>
      <sz val="12"/>
      <color rgb="FFEE0000"/>
      <name val="Arial"/>
      <family val="2"/>
      <charset val="186"/>
    </font>
    <font>
      <sz val="10.199999999999999"/>
      <color theme="1"/>
      <name val="Arial"/>
      <family val="2"/>
      <charset val="186"/>
    </font>
    <font>
      <vertAlign val="subscript"/>
      <sz val="12"/>
      <color theme="1"/>
      <name val="Arial"/>
      <family val="2"/>
      <charset val="186"/>
    </font>
    <font>
      <sz val="11"/>
      <color theme="1"/>
      <name val="Times New Roman"/>
      <family val="1"/>
      <charset val="186"/>
    </font>
    <font>
      <b/>
      <sz val="10"/>
      <name val="Times New Roman"/>
      <family val="1"/>
      <charset val="186"/>
    </font>
    <font>
      <sz val="12"/>
      <color theme="1"/>
      <name val="Times New Roman"/>
      <family val="2"/>
      <charset val="186"/>
    </font>
    <font>
      <b/>
      <sz val="11"/>
      <color rgb="FFFF0000"/>
      <name val="Times New Roman"/>
      <family val="1"/>
      <charset val="186"/>
    </font>
    <font>
      <b/>
      <sz val="11"/>
      <color theme="1"/>
      <name val="Times New Roman"/>
      <family val="1"/>
      <charset val="186"/>
    </font>
    <font>
      <sz val="11"/>
      <name val="Times New Roman"/>
      <family val="1"/>
      <charset val="186"/>
    </font>
    <font>
      <sz val="8"/>
      <name val="Calibri"/>
      <family val="2"/>
      <charset val="186"/>
      <scheme val="minor"/>
    </font>
    <font>
      <b/>
      <sz val="11"/>
      <color rgb="FFFF0000"/>
      <name val="Arial"/>
      <family val="2"/>
      <charset val="186"/>
    </font>
    <font>
      <sz val="11"/>
      <color rgb="FFFF0000"/>
      <name val="Myriad Pro"/>
      <family val="2"/>
      <charset val="186"/>
    </font>
    <font>
      <sz val="10"/>
      <name val="Arial"/>
    </font>
  </fonts>
  <fills count="3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6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67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indexed="64"/>
      </left>
      <right style="medium">
        <color indexed="64"/>
      </right>
      <top style="thin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140">
    <xf numFmtId="0" fontId="0" fillId="0" borderId="0"/>
    <xf numFmtId="164" fontId="1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2" fillId="0" borderId="0"/>
    <xf numFmtId="0" fontId="6" fillId="0" borderId="0"/>
    <xf numFmtId="0" fontId="7" fillId="0" borderId="0" applyNumberFormat="0" applyFill="0" applyBorder="0" applyAlignment="0" applyProtection="0">
      <alignment vertical="top"/>
      <protection locked="0"/>
    </xf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5" borderId="0" applyNumberFormat="0" applyBorder="0" applyAlignment="0" applyProtection="0"/>
    <xf numFmtId="0" fontId="1" fillId="8" borderId="0" applyNumberFormat="0" applyBorder="0" applyAlignment="0" applyProtection="0"/>
    <xf numFmtId="0" fontId="1" fillId="11" borderId="0" applyNumberFormat="0" applyBorder="0" applyAlignment="0" applyProtection="0"/>
    <xf numFmtId="0" fontId="8" fillId="12" borderId="0" applyNumberFormat="0" applyBorder="0" applyAlignment="0" applyProtection="0"/>
    <xf numFmtId="0" fontId="8" fillId="9" borderId="0" applyNumberFormat="0" applyBorder="0" applyAlignment="0" applyProtection="0"/>
    <xf numFmtId="0" fontId="8" fillId="10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6" borderId="0" applyNumberFormat="0" applyBorder="0" applyAlignment="0" applyProtection="0"/>
    <xf numFmtId="0" fontId="8" fillId="17" borderId="0" applyNumberFormat="0" applyBorder="0" applyAlignment="0" applyProtection="0"/>
    <xf numFmtId="0" fontId="8" fillId="18" borderId="0" applyNumberFormat="0" applyBorder="0" applyAlignment="0" applyProtection="0"/>
    <xf numFmtId="0" fontId="8" fillId="13" borderId="0" applyNumberFormat="0" applyBorder="0" applyAlignment="0" applyProtection="0"/>
    <xf numFmtId="0" fontId="8" fillId="14" borderId="0" applyNumberFormat="0" applyBorder="0" applyAlignment="0" applyProtection="0"/>
    <xf numFmtId="0" fontId="8" fillId="19" borderId="0" applyNumberFormat="0" applyBorder="0" applyAlignment="0" applyProtection="0"/>
    <xf numFmtId="0" fontId="9" fillId="3" borderId="0" applyNumberFormat="0" applyBorder="0" applyAlignment="0" applyProtection="0"/>
    <xf numFmtId="0" fontId="10" fillId="20" borderId="1" applyNumberFormat="0" applyAlignment="0" applyProtection="0"/>
    <xf numFmtId="0" fontId="11" fillId="21" borderId="2" applyNumberFormat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2" fillId="0" borderId="0" applyNumberFormat="0" applyFill="0" applyBorder="0" applyAlignment="0" applyProtection="0"/>
    <xf numFmtId="0" fontId="13" fillId="4" borderId="0" applyNumberFormat="0" applyBorder="0" applyAlignment="0" applyProtection="0"/>
    <xf numFmtId="0" fontId="14" fillId="0" borderId="3" applyNumberFormat="0" applyFill="0" applyAlignment="0" applyProtection="0"/>
    <xf numFmtId="0" fontId="15" fillId="0" borderId="4" applyNumberFormat="0" applyFill="0" applyAlignment="0" applyProtection="0"/>
    <xf numFmtId="0" fontId="16" fillId="0" borderId="5" applyNumberFormat="0" applyFill="0" applyAlignment="0" applyProtection="0"/>
    <xf numFmtId="0" fontId="16" fillId="0" borderId="0" applyNumberFormat="0" applyFill="0" applyBorder="0" applyAlignment="0" applyProtection="0"/>
    <xf numFmtId="0" fontId="17" fillId="7" borderId="1" applyNumberFormat="0" applyAlignment="0" applyProtection="0"/>
    <xf numFmtId="0" fontId="18" fillId="0" borderId="6" applyNumberFormat="0" applyFill="0" applyAlignment="0" applyProtection="0"/>
    <xf numFmtId="0" fontId="19" fillId="22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0" borderId="0"/>
    <xf numFmtId="0" fontId="2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" fillId="23" borderId="7" applyNumberFormat="0" applyFont="0" applyAlignment="0" applyProtection="0"/>
    <xf numFmtId="0" fontId="2" fillId="24" borderId="7" applyNumberForma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" fillId="23" borderId="7" applyNumberFormat="0" applyFont="0" applyAlignment="0" applyProtection="0"/>
    <xf numFmtId="0" fontId="20" fillId="20" borderId="8" applyNumberFormat="0" applyAlignment="0" applyProtection="0"/>
    <xf numFmtId="0" fontId="21" fillId="0" borderId="0" applyNumberFormat="0" applyFill="0" applyBorder="0" applyAlignment="0" applyProtection="0"/>
    <xf numFmtId="0" fontId="22" fillId="0" borderId="9" applyNumberFormat="0" applyFill="0" applyAlignment="0" applyProtection="0"/>
    <xf numFmtId="0" fontId="23" fillId="0" borderId="0" applyNumberFormat="0" applyFill="0" applyBorder="0" applyAlignment="0" applyProtection="0"/>
    <xf numFmtId="0" fontId="24" fillId="0" borderId="0"/>
    <xf numFmtId="164" fontId="24" fillId="0" borderId="0" applyFont="0" applyFill="0" applyBorder="0" applyAlignment="0" applyProtection="0"/>
    <xf numFmtId="0" fontId="2" fillId="0" borderId="0"/>
    <xf numFmtId="0" fontId="2" fillId="0" borderId="0"/>
    <xf numFmtId="2" fontId="2" fillId="0" borderId="0"/>
    <xf numFmtId="0" fontId="5" fillId="0" borderId="0"/>
    <xf numFmtId="0" fontId="25" fillId="0" borderId="0"/>
    <xf numFmtId="0" fontId="2" fillId="0" borderId="0"/>
    <xf numFmtId="0" fontId="2" fillId="0" borderId="0"/>
    <xf numFmtId="0" fontId="26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6" fillId="0" borderId="0"/>
    <xf numFmtId="0" fontId="6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" fillId="0" borderId="0"/>
    <xf numFmtId="0" fontId="27" fillId="0" borderId="0"/>
    <xf numFmtId="0" fontId="27" fillId="0" borderId="0"/>
    <xf numFmtId="0" fontId="2" fillId="0" borderId="0"/>
    <xf numFmtId="0" fontId="2" fillId="0" borderId="0"/>
    <xf numFmtId="0" fontId="28" fillId="0" borderId="0"/>
    <xf numFmtId="0" fontId="33" fillId="0" borderId="0"/>
    <xf numFmtId="0" fontId="33" fillId="0" borderId="0"/>
    <xf numFmtId="0" fontId="6" fillId="0" borderId="0"/>
    <xf numFmtId="0" fontId="6" fillId="0" borderId="0"/>
    <xf numFmtId="0" fontId="33" fillId="0" borderId="0"/>
    <xf numFmtId="0" fontId="2" fillId="0" borderId="0"/>
    <xf numFmtId="0" fontId="6" fillId="0" borderId="0"/>
    <xf numFmtId="240" fontId="57" fillId="0" borderId="0" applyFont="0" applyFill="0" applyBorder="0" applyAlignment="0" applyProtection="0"/>
    <xf numFmtId="0" fontId="57" fillId="0" borderId="0"/>
    <xf numFmtId="0" fontId="2" fillId="0" borderId="0"/>
    <xf numFmtId="0" fontId="64" fillId="0" borderId="0"/>
  </cellStyleXfs>
  <cellXfs count="685">
    <xf numFmtId="0" fontId="0" fillId="0" borderId="0" xfId="0"/>
    <xf numFmtId="174" fontId="6" fillId="0" borderId="10" xfId="0" applyNumberFormat="1" applyFont="1" applyBorder="1" applyAlignment="1">
      <alignment horizontal="center" vertical="center"/>
    </xf>
    <xf numFmtId="168" fontId="6" fillId="0" borderId="10" xfId="0" applyNumberFormat="1" applyFont="1" applyBorder="1" applyAlignment="1">
      <alignment horizontal="right" vertical="center"/>
    </xf>
    <xf numFmtId="0" fontId="31" fillId="0" borderId="0" xfId="129" applyFont="1"/>
    <xf numFmtId="0" fontId="36" fillId="0" borderId="0" xfId="129" applyFont="1" applyAlignment="1">
      <alignment horizontal="center" vertical="center"/>
    </xf>
    <xf numFmtId="0" fontId="36" fillId="0" borderId="33" xfId="129" applyFont="1" applyBorder="1" applyAlignment="1">
      <alignment horizontal="center" vertical="center"/>
    </xf>
    <xf numFmtId="176" fontId="36" fillId="0" borderId="33" xfId="129" applyNumberFormat="1" applyFont="1" applyBorder="1" applyAlignment="1" applyProtection="1">
      <alignment horizontal="center" vertical="center" wrapText="1"/>
      <protection locked="0"/>
    </xf>
    <xf numFmtId="4" fontId="36" fillId="0" borderId="0" xfId="129" applyNumberFormat="1" applyFont="1" applyAlignment="1">
      <alignment horizontal="center" vertical="center"/>
    </xf>
    <xf numFmtId="2" fontId="36" fillId="0" borderId="0" xfId="129" applyNumberFormat="1" applyFont="1" applyAlignment="1">
      <alignment horizontal="center" vertical="center"/>
    </xf>
    <xf numFmtId="0" fontId="42" fillId="0" borderId="0" xfId="130" applyFont="1" applyAlignment="1">
      <alignment horizontal="left" vertical="center" wrapText="1"/>
    </xf>
    <xf numFmtId="0" fontId="42" fillId="0" borderId="0" xfId="130" applyFont="1" applyAlignment="1">
      <alignment horizontal="left" vertical="center"/>
    </xf>
    <xf numFmtId="0" fontId="42" fillId="0" borderId="0" xfId="130" applyFont="1" applyAlignment="1">
      <alignment horizontal="center" vertical="center"/>
    </xf>
    <xf numFmtId="195" fontId="42" fillId="0" borderId="0" xfId="130" applyNumberFormat="1" applyFont="1" applyAlignment="1">
      <alignment horizontal="center" vertical="center"/>
    </xf>
    <xf numFmtId="0" fontId="30" fillId="0" borderId="0" xfId="130" applyFont="1" applyAlignment="1">
      <alignment horizontal="left" vertical="center" wrapText="1"/>
    </xf>
    <xf numFmtId="0" fontId="30" fillId="0" borderId="0" xfId="130" applyFont="1" applyAlignment="1">
      <alignment horizontal="left" vertical="center"/>
    </xf>
    <xf numFmtId="0" fontId="30" fillId="0" borderId="0" xfId="130" applyFont="1" applyAlignment="1">
      <alignment horizontal="center" vertical="center"/>
    </xf>
    <xf numFmtId="195" fontId="30" fillId="0" borderId="0" xfId="130" applyNumberFormat="1" applyFont="1" applyAlignment="1">
      <alignment horizontal="center" vertical="center"/>
    </xf>
    <xf numFmtId="0" fontId="31" fillId="0" borderId="0" xfId="130" applyFont="1" applyAlignment="1">
      <alignment horizontal="center" vertical="center"/>
    </xf>
    <xf numFmtId="193" fontId="31" fillId="0" borderId="0" xfId="130" applyNumberFormat="1" applyFont="1" applyAlignment="1">
      <alignment horizontal="center" vertical="center"/>
    </xf>
    <xf numFmtId="1" fontId="31" fillId="0" borderId="0" xfId="130" applyNumberFormat="1" applyFont="1" applyAlignment="1">
      <alignment horizontal="center" vertical="center"/>
    </xf>
    <xf numFmtId="0" fontId="42" fillId="29" borderId="0" xfId="130" applyFont="1" applyFill="1" applyAlignment="1">
      <alignment horizontal="left" vertical="center" wrapText="1"/>
    </xf>
    <xf numFmtId="0" fontId="42" fillId="29" borderId="0" xfId="130" applyFont="1" applyFill="1" applyAlignment="1">
      <alignment horizontal="left" vertical="center"/>
    </xf>
    <xf numFmtId="0" fontId="42" fillId="29" borderId="0" xfId="130" applyFont="1" applyFill="1" applyAlignment="1">
      <alignment horizontal="center" vertical="center"/>
    </xf>
    <xf numFmtId="195" fontId="42" fillId="29" borderId="0" xfId="130" applyNumberFormat="1" applyFont="1" applyFill="1" applyAlignment="1">
      <alignment horizontal="center" vertical="center"/>
    </xf>
    <xf numFmtId="0" fontId="43" fillId="0" borderId="0" xfId="130" applyFont="1" applyAlignment="1">
      <alignment horizontal="center" vertical="center"/>
    </xf>
    <xf numFmtId="2" fontId="43" fillId="0" borderId="0" xfId="130" applyNumberFormat="1" applyFont="1" applyAlignment="1">
      <alignment horizontal="center" vertical="center"/>
    </xf>
    <xf numFmtId="0" fontId="44" fillId="0" borderId="0" xfId="130" applyFont="1" applyAlignment="1">
      <alignment horizontal="center" vertical="center"/>
    </xf>
    <xf numFmtId="0" fontId="45" fillId="29" borderId="0" xfId="130" applyFont="1" applyFill="1" applyAlignment="1">
      <alignment horizontal="left" vertical="center"/>
    </xf>
    <xf numFmtId="0" fontId="46" fillId="29" borderId="0" xfId="130" applyFont="1" applyFill="1" applyAlignment="1">
      <alignment horizontal="center" vertical="center"/>
    </xf>
    <xf numFmtId="0" fontId="46" fillId="29" borderId="0" xfId="130" applyFont="1" applyFill="1" applyAlignment="1">
      <alignment horizontal="left" vertical="center"/>
    </xf>
    <xf numFmtId="0" fontId="46" fillId="0" borderId="0" xfId="130" applyFont="1" applyAlignment="1">
      <alignment horizontal="center" vertical="center"/>
    </xf>
    <xf numFmtId="195" fontId="46" fillId="0" borderId="0" xfId="130" applyNumberFormat="1" applyFont="1" applyAlignment="1">
      <alignment horizontal="center" vertical="center"/>
    </xf>
    <xf numFmtId="0" fontId="46" fillId="0" borderId="0" xfId="130" applyFont="1" applyAlignment="1">
      <alignment horizontal="left" vertical="center"/>
    </xf>
    <xf numFmtId="0" fontId="30" fillId="29" borderId="0" xfId="130" applyFont="1" applyFill="1" applyAlignment="1">
      <alignment horizontal="left" vertical="center"/>
    </xf>
    <xf numFmtId="0" fontId="30" fillId="29" borderId="0" xfId="130" applyFont="1" applyFill="1" applyAlignment="1">
      <alignment horizontal="center" vertical="center"/>
    </xf>
    <xf numFmtId="195" fontId="30" fillId="29" borderId="0" xfId="130" applyNumberFormat="1" applyFont="1" applyFill="1" applyAlignment="1">
      <alignment horizontal="center" vertical="center"/>
    </xf>
    <xf numFmtId="0" fontId="30" fillId="0" borderId="0" xfId="130" applyFont="1" applyAlignment="1">
      <alignment horizontal="right" vertical="center"/>
    </xf>
    <xf numFmtId="195" fontId="46" fillId="29" borderId="0" xfId="130" applyNumberFormat="1" applyFont="1" applyFill="1" applyAlignment="1">
      <alignment horizontal="center" vertical="center"/>
    </xf>
    <xf numFmtId="0" fontId="47" fillId="29" borderId="0" xfId="130" applyFont="1" applyFill="1" applyAlignment="1">
      <alignment horizontal="left" vertical="center"/>
    </xf>
    <xf numFmtId="0" fontId="47" fillId="0" borderId="0" xfId="130" applyFont="1" applyAlignment="1">
      <alignment horizontal="left" vertical="center"/>
    </xf>
    <xf numFmtId="0" fontId="2" fillId="0" borderId="0" xfId="129" applyFont="1"/>
    <xf numFmtId="0" fontId="40" fillId="0" borderId="0" xfId="129" applyFont="1" applyAlignment="1">
      <alignment horizontal="left"/>
    </xf>
    <xf numFmtId="0" fontId="40" fillId="0" borderId="0" xfId="129" applyFont="1"/>
    <xf numFmtId="0" fontId="40" fillId="0" borderId="0" xfId="129" applyFont="1" applyAlignment="1">
      <alignment horizontal="center" vertical="center"/>
    </xf>
    <xf numFmtId="0" fontId="30" fillId="27" borderId="0" xfId="131" applyFont="1" applyFill="1" applyAlignment="1">
      <alignment horizontal="left" vertical="center"/>
    </xf>
    <xf numFmtId="196" fontId="30" fillId="27" borderId="0" xfId="129" applyNumberFormat="1" applyFont="1" applyFill="1" applyAlignment="1">
      <alignment horizontal="left" vertical="center"/>
    </xf>
    <xf numFmtId="0" fontId="44" fillId="27" borderId="0" xfId="131" applyFont="1" applyFill="1" applyAlignment="1">
      <alignment horizontal="center" vertical="center"/>
    </xf>
    <xf numFmtId="193" fontId="40" fillId="0" borderId="14" xfId="129" applyNumberFormat="1" applyFont="1" applyBorder="1" applyAlignment="1">
      <alignment horizontal="center" vertical="center" wrapText="1"/>
    </xf>
    <xf numFmtId="193" fontId="40" fillId="0" borderId="15" xfId="129" applyNumberFormat="1" applyFont="1" applyBorder="1" applyAlignment="1">
      <alignment horizontal="center" vertical="center" wrapText="1"/>
    </xf>
    <xf numFmtId="2" fontId="36" fillId="0" borderId="15" xfId="129" applyNumberFormat="1" applyFont="1" applyBorder="1" applyAlignment="1">
      <alignment horizontal="center" vertical="center" wrapText="1"/>
    </xf>
    <xf numFmtId="193" fontId="36" fillId="0" borderId="15" xfId="129" applyNumberFormat="1" applyFont="1" applyBorder="1" applyAlignment="1">
      <alignment horizontal="center" vertical="center" wrapText="1"/>
    </xf>
    <xf numFmtId="0" fontId="44" fillId="27" borderId="0" xfId="131" applyFont="1" applyFill="1" applyAlignment="1">
      <alignment horizontal="left" vertical="center"/>
    </xf>
    <xf numFmtId="196" fontId="44" fillId="27" borderId="0" xfId="129" applyNumberFormat="1" applyFont="1" applyFill="1" applyAlignment="1">
      <alignment horizontal="left" vertical="center"/>
    </xf>
    <xf numFmtId="0" fontId="31" fillId="27" borderId="0" xfId="131" applyFont="1" applyFill="1" applyAlignment="1">
      <alignment horizontal="center" vertical="center"/>
    </xf>
    <xf numFmtId="193" fontId="41" fillId="0" borderId="38" xfId="129" applyNumberFormat="1" applyFont="1" applyBorder="1" applyAlignment="1">
      <alignment vertical="center"/>
    </xf>
    <xf numFmtId="193" fontId="48" fillId="0" borderId="35" xfId="129" applyNumberFormat="1" applyFont="1" applyBorder="1" applyAlignment="1">
      <alignment horizontal="left" vertical="center" wrapText="1"/>
    </xf>
    <xf numFmtId="193" fontId="48" fillId="0" borderId="35" xfId="129" applyNumberFormat="1" applyFont="1" applyBorder="1" applyAlignment="1">
      <alignment vertical="center" wrapText="1"/>
    </xf>
    <xf numFmtId="193" fontId="48" fillId="0" borderId="35" xfId="129" applyNumberFormat="1" applyFont="1" applyBorder="1" applyAlignment="1">
      <alignment horizontal="center" vertical="center" wrapText="1"/>
    </xf>
    <xf numFmtId="197" fontId="48" fillId="0" borderId="35" xfId="129" applyNumberFormat="1" applyFont="1" applyBorder="1" applyAlignment="1">
      <alignment horizontal="center" vertical="center" wrapText="1"/>
    </xf>
    <xf numFmtId="0" fontId="48" fillId="0" borderId="35" xfId="129" applyFont="1" applyBorder="1" applyAlignment="1">
      <alignment horizontal="center" vertical="center" wrapText="1"/>
    </xf>
    <xf numFmtId="193" fontId="49" fillId="0" borderId="35" xfId="129" applyNumberFormat="1" applyFont="1" applyBorder="1" applyAlignment="1">
      <alignment horizontal="center" vertical="center" wrapText="1"/>
    </xf>
    <xf numFmtId="0" fontId="36" fillId="0" borderId="0" xfId="129" applyFont="1"/>
    <xf numFmtId="0" fontId="36" fillId="27" borderId="0" xfId="129" applyFont="1" applyFill="1" applyAlignment="1">
      <alignment horizontal="left" vertical="center"/>
    </xf>
    <xf numFmtId="198" fontId="30" fillId="27" borderId="0" xfId="129" applyNumberFormat="1" applyFont="1" applyFill="1" applyAlignment="1">
      <alignment horizontal="left" vertical="center"/>
    </xf>
    <xf numFmtId="0" fontId="50" fillId="27" borderId="0" xfId="131" applyFont="1" applyFill="1" applyAlignment="1">
      <alignment horizontal="center" vertical="center"/>
    </xf>
    <xf numFmtId="0" fontId="40" fillId="0" borderId="17" xfId="129" applyFont="1" applyBorder="1" applyAlignment="1">
      <alignment horizontal="left"/>
    </xf>
    <xf numFmtId="167" fontId="40" fillId="0" borderId="17" xfId="129" applyNumberFormat="1" applyFont="1" applyBorder="1" applyAlignment="1">
      <alignment horizontal="center" vertical="center"/>
    </xf>
    <xf numFmtId="199" fontId="40" fillId="0" borderId="17" xfId="129" applyNumberFormat="1" applyFont="1" applyBorder="1" applyAlignment="1">
      <alignment horizontal="center" vertical="center"/>
    </xf>
    <xf numFmtId="172" fontId="40" fillId="0" borderId="17" xfId="129" applyNumberFormat="1" applyFont="1" applyBorder="1" applyAlignment="1">
      <alignment horizontal="center" vertical="center" wrapText="1"/>
    </xf>
    <xf numFmtId="200" fontId="40" fillId="0" borderId="17" xfId="129" applyNumberFormat="1" applyFont="1" applyBorder="1" applyAlignment="1">
      <alignment horizontal="center" vertical="center"/>
    </xf>
    <xf numFmtId="180" fontId="36" fillId="0" borderId="17" xfId="129" applyNumberFormat="1" applyFont="1" applyBorder="1" applyAlignment="1">
      <alignment horizontal="left" vertical="center" wrapText="1"/>
    </xf>
    <xf numFmtId="201" fontId="51" fillId="30" borderId="17" xfId="129" applyNumberFormat="1" applyFont="1" applyFill="1" applyBorder="1" applyAlignment="1">
      <alignment horizontal="center" vertical="center" wrapText="1"/>
    </xf>
    <xf numFmtId="2" fontId="36" fillId="0" borderId="39" xfId="129" applyNumberFormat="1" applyFont="1" applyBorder="1" applyAlignment="1">
      <alignment horizontal="center" vertical="center" wrapText="1"/>
    </xf>
    <xf numFmtId="0" fontId="51" fillId="27" borderId="0" xfId="129" applyFont="1" applyFill="1" applyAlignment="1">
      <alignment horizontal="left" vertical="center"/>
    </xf>
    <xf numFmtId="198" fontId="51" fillId="27" borderId="0" xfId="129" applyNumberFormat="1" applyFont="1" applyFill="1" applyAlignment="1">
      <alignment horizontal="left" vertical="center"/>
    </xf>
    <xf numFmtId="0" fontId="31" fillId="0" borderId="0" xfId="129" applyFont="1" applyAlignment="1">
      <alignment horizontal="center" vertical="center"/>
    </xf>
    <xf numFmtId="0" fontId="40" fillId="0" borderId="33" xfId="129" applyFont="1" applyBorder="1" applyAlignment="1">
      <alignment horizontal="left"/>
    </xf>
    <xf numFmtId="167" fontId="40" fillId="0" borderId="33" xfId="129" applyNumberFormat="1" applyFont="1" applyBorder="1" applyAlignment="1">
      <alignment horizontal="center" vertical="center"/>
    </xf>
    <xf numFmtId="199" fontId="40" fillId="0" borderId="33" xfId="129" applyNumberFormat="1" applyFont="1" applyBorder="1" applyAlignment="1">
      <alignment horizontal="center" vertical="center"/>
    </xf>
    <xf numFmtId="172" fontId="40" fillId="0" borderId="33" xfId="129" applyNumberFormat="1" applyFont="1" applyBorder="1" applyAlignment="1">
      <alignment horizontal="center" vertical="center" wrapText="1"/>
    </xf>
    <xf numFmtId="200" fontId="40" fillId="0" borderId="33" xfId="129" applyNumberFormat="1" applyFont="1" applyBorder="1" applyAlignment="1">
      <alignment horizontal="center" vertical="center"/>
    </xf>
    <xf numFmtId="180" fontId="36" fillId="0" borderId="33" xfId="129" applyNumberFormat="1" applyFont="1" applyBorder="1" applyAlignment="1">
      <alignment horizontal="left" vertical="center" wrapText="1"/>
    </xf>
    <xf numFmtId="201" fontId="51" fillId="30" borderId="33" xfId="129" applyNumberFormat="1" applyFont="1" applyFill="1" applyBorder="1" applyAlignment="1">
      <alignment horizontal="center" vertical="center" wrapText="1"/>
    </xf>
    <xf numFmtId="2" fontId="36" fillId="0" borderId="40" xfId="129" applyNumberFormat="1" applyFont="1" applyBorder="1" applyAlignment="1">
      <alignment horizontal="center" vertical="center" wrapText="1"/>
    </xf>
    <xf numFmtId="202" fontId="36" fillId="27" borderId="0" xfId="129" applyNumberFormat="1" applyFont="1" applyFill="1" applyAlignment="1">
      <alignment horizontal="left" vertical="center" wrapText="1"/>
    </xf>
    <xf numFmtId="203" fontId="36" fillId="27" borderId="0" xfId="129" applyNumberFormat="1" applyFont="1" applyFill="1" applyAlignment="1">
      <alignment horizontal="left" vertical="center"/>
    </xf>
    <xf numFmtId="0" fontId="31" fillId="27" borderId="0" xfId="131" applyFont="1" applyFill="1" applyAlignment="1">
      <alignment horizontal="left" vertical="center"/>
    </xf>
    <xf numFmtId="204" fontId="30" fillId="27" borderId="0" xfId="129" applyNumberFormat="1" applyFont="1" applyFill="1" applyAlignment="1">
      <alignment horizontal="left" vertical="center"/>
    </xf>
    <xf numFmtId="196" fontId="40" fillId="27" borderId="0" xfId="129" applyNumberFormat="1" applyFont="1" applyFill="1" applyAlignment="1">
      <alignment horizontal="left" vertical="center"/>
    </xf>
    <xf numFmtId="205" fontId="51" fillId="27" borderId="0" xfId="129" applyNumberFormat="1" applyFont="1" applyFill="1" applyAlignment="1">
      <alignment horizontal="left" vertical="center"/>
    </xf>
    <xf numFmtId="206" fontId="51" fillId="27" borderId="0" xfId="129" applyNumberFormat="1" applyFont="1" applyFill="1" applyAlignment="1">
      <alignment horizontal="left" vertical="center"/>
    </xf>
    <xf numFmtId="0" fontId="30" fillId="0" borderId="0" xfId="129" applyFont="1"/>
    <xf numFmtId="204" fontId="51" fillId="27" borderId="0" xfId="129" applyNumberFormat="1" applyFont="1" applyFill="1" applyAlignment="1">
      <alignment horizontal="left" vertical="center"/>
    </xf>
    <xf numFmtId="0" fontId="40" fillId="29" borderId="33" xfId="129" applyFont="1" applyFill="1" applyBorder="1" applyAlignment="1">
      <alignment horizontal="left"/>
    </xf>
    <xf numFmtId="167" fontId="40" fillId="29" borderId="33" xfId="129" applyNumberFormat="1" applyFont="1" applyFill="1" applyBorder="1" applyAlignment="1">
      <alignment horizontal="center" vertical="center"/>
    </xf>
    <xf numFmtId="199" fontId="40" fillId="29" borderId="33" xfId="129" applyNumberFormat="1" applyFont="1" applyFill="1" applyBorder="1" applyAlignment="1">
      <alignment horizontal="center" vertical="center"/>
    </xf>
    <xf numFmtId="172" fontId="40" fillId="29" borderId="33" xfId="129" applyNumberFormat="1" applyFont="1" applyFill="1" applyBorder="1" applyAlignment="1">
      <alignment horizontal="center" vertical="center" wrapText="1"/>
    </xf>
    <xf numFmtId="200" fontId="40" fillId="29" borderId="33" xfId="129" applyNumberFormat="1" applyFont="1" applyFill="1" applyBorder="1" applyAlignment="1">
      <alignment horizontal="center" vertical="center"/>
    </xf>
    <xf numFmtId="180" fontId="36" fillId="29" borderId="33" xfId="129" applyNumberFormat="1" applyFont="1" applyFill="1" applyBorder="1" applyAlignment="1">
      <alignment horizontal="left" vertical="center" wrapText="1"/>
    </xf>
    <xf numFmtId="201" fontId="51" fillId="29" borderId="33" xfId="129" applyNumberFormat="1" applyFont="1" applyFill="1" applyBorder="1" applyAlignment="1">
      <alignment horizontal="center" vertical="center" wrapText="1"/>
    </xf>
    <xf numFmtId="2" fontId="36" fillId="29" borderId="40" xfId="129" applyNumberFormat="1" applyFont="1" applyFill="1" applyBorder="1" applyAlignment="1">
      <alignment horizontal="center" vertical="center" wrapText="1"/>
    </xf>
    <xf numFmtId="204" fontId="40" fillId="27" borderId="0" xfId="129" applyNumberFormat="1" applyFont="1" applyFill="1" applyAlignment="1">
      <alignment horizontal="left" vertical="center"/>
    </xf>
    <xf numFmtId="2" fontId="31" fillId="31" borderId="33" xfId="129" applyNumberFormat="1" applyFont="1" applyFill="1" applyBorder="1" applyAlignment="1">
      <alignment horizontal="center" vertical="center" wrapText="1"/>
    </xf>
    <xf numFmtId="207" fontId="31" fillId="0" borderId="33" xfId="131" applyNumberFormat="1" applyFont="1" applyBorder="1" applyAlignment="1">
      <alignment horizontal="center" vertical="center"/>
    </xf>
    <xf numFmtId="180" fontId="31" fillId="0" borderId="33" xfId="129" applyNumberFormat="1" applyFont="1" applyBorder="1" applyAlignment="1">
      <alignment horizontal="center" vertical="center"/>
    </xf>
    <xf numFmtId="179" fontId="31" fillId="0" borderId="33" xfId="129" applyNumberFormat="1" applyFont="1" applyBorder="1" applyAlignment="1">
      <alignment horizontal="center" vertical="center" wrapText="1"/>
    </xf>
    <xf numFmtId="208" fontId="31" fillId="0" borderId="33" xfId="131" applyNumberFormat="1" applyFont="1" applyBorder="1" applyAlignment="1">
      <alignment horizontal="center" vertical="center"/>
    </xf>
    <xf numFmtId="0" fontId="40" fillId="25" borderId="33" xfId="129" applyFont="1" applyFill="1" applyBorder="1" applyAlignment="1">
      <alignment horizontal="left"/>
    </xf>
    <xf numFmtId="167" fontId="40" fillId="25" borderId="33" xfId="129" applyNumberFormat="1" applyFont="1" applyFill="1" applyBorder="1" applyAlignment="1">
      <alignment horizontal="center" vertical="center"/>
    </xf>
    <xf numFmtId="199" fontId="40" fillId="25" borderId="33" xfId="129" applyNumberFormat="1" applyFont="1" applyFill="1" applyBorder="1" applyAlignment="1">
      <alignment horizontal="center" vertical="center"/>
    </xf>
    <xf numFmtId="172" fontId="40" fillId="25" borderId="33" xfId="129" applyNumberFormat="1" applyFont="1" applyFill="1" applyBorder="1" applyAlignment="1">
      <alignment horizontal="center" vertical="center" wrapText="1"/>
    </xf>
    <xf numFmtId="200" fontId="40" fillId="25" borderId="33" xfId="129" applyNumberFormat="1" applyFont="1" applyFill="1" applyBorder="1" applyAlignment="1">
      <alignment horizontal="center" vertical="center"/>
    </xf>
    <xf numFmtId="180" fontId="36" fillId="25" borderId="33" xfId="129" applyNumberFormat="1" applyFont="1" applyFill="1" applyBorder="1" applyAlignment="1">
      <alignment horizontal="left" vertical="center" wrapText="1"/>
    </xf>
    <xf numFmtId="201" fontId="51" fillId="25" borderId="33" xfId="129" applyNumberFormat="1" applyFont="1" applyFill="1" applyBorder="1" applyAlignment="1">
      <alignment horizontal="center" vertical="center" wrapText="1"/>
    </xf>
    <xf numFmtId="2" fontId="36" fillId="25" borderId="40" xfId="129" applyNumberFormat="1" applyFont="1" applyFill="1" applyBorder="1" applyAlignment="1">
      <alignment horizontal="center" vertical="center" wrapText="1"/>
    </xf>
    <xf numFmtId="2" fontId="36" fillId="0" borderId="0" xfId="129" applyNumberFormat="1" applyFont="1" applyAlignment="1">
      <alignment horizontal="center" vertical="center" wrapText="1"/>
    </xf>
    <xf numFmtId="193" fontId="36" fillId="0" borderId="0" xfId="129" applyNumberFormat="1" applyFont="1" applyAlignment="1">
      <alignment horizontal="left" vertical="center" wrapText="1"/>
    </xf>
    <xf numFmtId="209" fontId="36" fillId="0" borderId="0" xfId="129" applyNumberFormat="1" applyFont="1" applyAlignment="1">
      <alignment horizontal="left" vertical="center"/>
    </xf>
    <xf numFmtId="0" fontId="40" fillId="0" borderId="42" xfId="129" applyFont="1" applyBorder="1" applyAlignment="1">
      <alignment horizontal="left"/>
    </xf>
    <xf numFmtId="167" fontId="40" fillId="0" borderId="42" xfId="129" applyNumberFormat="1" applyFont="1" applyBorder="1" applyAlignment="1">
      <alignment horizontal="center" vertical="center"/>
    </xf>
    <xf numFmtId="199" fontId="40" fillId="0" borderId="42" xfId="129" applyNumberFormat="1" applyFont="1" applyBorder="1" applyAlignment="1">
      <alignment horizontal="center" vertical="center"/>
    </xf>
    <xf numFmtId="172" fontId="40" fillId="0" borderId="42" xfId="129" applyNumberFormat="1" applyFont="1" applyBorder="1" applyAlignment="1">
      <alignment horizontal="center" vertical="center" wrapText="1"/>
    </xf>
    <xf numFmtId="200" fontId="40" fillId="0" borderId="42" xfId="129" applyNumberFormat="1" applyFont="1" applyBorder="1" applyAlignment="1">
      <alignment horizontal="center" vertical="center"/>
    </xf>
    <xf numFmtId="180" fontId="36" fillId="0" borderId="42" xfId="129" applyNumberFormat="1" applyFont="1" applyBorder="1" applyAlignment="1">
      <alignment horizontal="left" vertical="center" wrapText="1"/>
    </xf>
    <xf numFmtId="201" fontId="51" fillId="30" borderId="42" xfId="129" applyNumberFormat="1" applyFont="1" applyFill="1" applyBorder="1" applyAlignment="1">
      <alignment horizontal="center" vertical="center" wrapText="1"/>
    </xf>
    <xf numFmtId="2" fontId="36" fillId="0" borderId="43" xfId="129" applyNumberFormat="1" applyFont="1" applyBorder="1" applyAlignment="1">
      <alignment horizontal="center" vertical="center" wrapText="1"/>
    </xf>
    <xf numFmtId="0" fontId="40" fillId="0" borderId="17" xfId="129" applyFont="1" applyBorder="1" applyAlignment="1">
      <alignment horizontal="left" vertical="center"/>
    </xf>
    <xf numFmtId="200" fontId="40" fillId="0" borderId="17" xfId="129" applyNumberFormat="1" applyFont="1" applyBorder="1" applyAlignment="1">
      <alignment horizontal="center" vertical="center" wrapText="1"/>
    </xf>
    <xf numFmtId="193" fontId="36" fillId="0" borderId="0" xfId="129" applyNumberFormat="1" applyFont="1" applyAlignment="1">
      <alignment horizontal="center" vertical="center" wrapText="1"/>
    </xf>
    <xf numFmtId="210" fontId="36" fillId="0" borderId="0" xfId="132" applyNumberFormat="1" applyFont="1" applyAlignment="1">
      <alignment horizontal="left"/>
    </xf>
    <xf numFmtId="211" fontId="36" fillId="0" borderId="0" xfId="132" applyNumberFormat="1" applyFont="1" applyAlignment="1">
      <alignment horizontal="left"/>
    </xf>
    <xf numFmtId="0" fontId="40" fillId="0" borderId="33" xfId="129" applyFont="1" applyBorder="1" applyAlignment="1">
      <alignment horizontal="left" vertical="center"/>
    </xf>
    <xf numFmtId="200" fontId="40" fillId="0" borderId="33" xfId="129" applyNumberFormat="1" applyFont="1" applyBorder="1" applyAlignment="1">
      <alignment horizontal="center" vertical="center" wrapText="1"/>
    </xf>
    <xf numFmtId="0" fontId="40" fillId="0" borderId="21" xfId="129" applyFont="1" applyBorder="1" applyAlignment="1">
      <alignment horizontal="left" vertical="center"/>
    </xf>
    <xf numFmtId="167" fontId="40" fillId="0" borderId="21" xfId="129" applyNumberFormat="1" applyFont="1" applyBorder="1" applyAlignment="1">
      <alignment horizontal="center" vertical="center"/>
    </xf>
    <xf numFmtId="199" fontId="40" fillId="0" borderId="21" xfId="129" applyNumberFormat="1" applyFont="1" applyBorder="1" applyAlignment="1">
      <alignment horizontal="center" vertical="center"/>
    </xf>
    <xf numFmtId="172" fontId="40" fillId="0" borderId="21" xfId="129" applyNumberFormat="1" applyFont="1" applyBorder="1" applyAlignment="1">
      <alignment horizontal="center" vertical="center" wrapText="1"/>
    </xf>
    <xf numFmtId="200" fontId="40" fillId="0" borderId="21" xfId="129" applyNumberFormat="1" applyFont="1" applyBorder="1" applyAlignment="1">
      <alignment horizontal="center" vertical="center" wrapText="1"/>
    </xf>
    <xf numFmtId="180" fontId="36" fillId="0" borderId="21" xfId="129" applyNumberFormat="1" applyFont="1" applyBorder="1" applyAlignment="1">
      <alignment horizontal="left" vertical="center" wrapText="1"/>
    </xf>
    <xf numFmtId="201" fontId="51" fillId="30" borderId="21" xfId="129" applyNumberFormat="1" applyFont="1" applyFill="1" applyBorder="1" applyAlignment="1">
      <alignment horizontal="center" vertical="center" wrapText="1"/>
    </xf>
    <xf numFmtId="2" fontId="36" fillId="0" borderId="44" xfId="129" applyNumberFormat="1" applyFont="1" applyBorder="1" applyAlignment="1">
      <alignment horizontal="center" vertical="center" wrapText="1"/>
    </xf>
    <xf numFmtId="0" fontId="36" fillId="0" borderId="0" xfId="129" applyFont="1" applyAlignment="1">
      <alignment horizontal="left" vertical="center"/>
    </xf>
    <xf numFmtId="212" fontId="36" fillId="0" borderId="0" xfId="132" applyNumberFormat="1" applyFont="1" applyAlignment="1">
      <alignment horizontal="center" vertical="center"/>
    </xf>
    <xf numFmtId="213" fontId="36" fillId="0" borderId="0" xfId="132" applyNumberFormat="1" applyFont="1" applyAlignment="1">
      <alignment horizontal="center" vertical="center"/>
    </xf>
    <xf numFmtId="0" fontId="36" fillId="0" borderId="0" xfId="129" applyFont="1" applyAlignment="1">
      <alignment horizontal="left"/>
    </xf>
    <xf numFmtId="0" fontId="38" fillId="0" borderId="0" xfId="129" applyFont="1" applyAlignment="1">
      <alignment horizontal="left" vertical="center"/>
    </xf>
    <xf numFmtId="214" fontId="41" fillId="0" borderId="0" xfId="129" applyNumberFormat="1" applyFont="1" applyAlignment="1">
      <alignment horizontal="left"/>
    </xf>
    <xf numFmtId="0" fontId="40" fillId="0" borderId="21" xfId="129" applyFont="1" applyBorder="1" applyAlignment="1">
      <alignment horizontal="left"/>
    </xf>
    <xf numFmtId="200" fontId="40" fillId="0" borderId="21" xfId="129" applyNumberFormat="1" applyFont="1" applyBorder="1" applyAlignment="1">
      <alignment horizontal="center" vertical="center"/>
    </xf>
    <xf numFmtId="215" fontId="40" fillId="0" borderId="0" xfId="129" applyNumberFormat="1" applyFont="1" applyAlignment="1">
      <alignment horizontal="left" vertical="center"/>
    </xf>
    <xf numFmtId="0" fontId="40" fillId="0" borderId="11" xfId="129" applyFont="1" applyBorder="1" applyAlignment="1">
      <alignment horizontal="left" vertical="center"/>
    </xf>
    <xf numFmtId="207" fontId="40" fillId="0" borderId="11" xfId="129" applyNumberFormat="1" applyFont="1" applyBorder="1" applyAlignment="1">
      <alignment horizontal="center" vertical="center"/>
    </xf>
    <xf numFmtId="199" fontId="40" fillId="0" borderId="11" xfId="129" applyNumberFormat="1" applyFont="1" applyBorder="1" applyAlignment="1">
      <alignment horizontal="center" vertical="center"/>
    </xf>
    <xf numFmtId="200" fontId="40" fillId="0" borderId="11" xfId="129" applyNumberFormat="1" applyFont="1" applyBorder="1" applyAlignment="1">
      <alignment horizontal="center" vertical="center"/>
    </xf>
    <xf numFmtId="180" fontId="36" fillId="0" borderId="11" xfId="129" applyNumberFormat="1" applyFont="1" applyBorder="1" applyAlignment="1">
      <alignment horizontal="left" vertical="center" wrapText="1"/>
    </xf>
    <xf numFmtId="201" fontId="51" fillId="30" borderId="11" xfId="129" applyNumberFormat="1" applyFont="1" applyFill="1" applyBorder="1" applyAlignment="1">
      <alignment horizontal="center" vertical="center" wrapText="1"/>
    </xf>
    <xf numFmtId="2" fontId="36" fillId="0" borderId="45" xfId="129" applyNumberFormat="1" applyFont="1" applyBorder="1" applyAlignment="1">
      <alignment horizontal="center" vertical="center" wrapText="1"/>
    </xf>
    <xf numFmtId="202" fontId="36" fillId="0" borderId="0" xfId="129" applyNumberFormat="1" applyFont="1" applyAlignment="1">
      <alignment horizontal="left" vertical="center" wrapText="1"/>
    </xf>
    <xf numFmtId="203" fontId="36" fillId="0" borderId="0" xfId="129" applyNumberFormat="1" applyFont="1" applyAlignment="1">
      <alignment horizontal="left" vertical="center"/>
    </xf>
    <xf numFmtId="207" fontId="40" fillId="0" borderId="33" xfId="129" applyNumberFormat="1" applyFont="1" applyBorder="1" applyAlignment="1">
      <alignment horizontal="center" vertical="center"/>
    </xf>
    <xf numFmtId="206" fontId="40" fillId="0" borderId="0" xfId="129" applyNumberFormat="1" applyFont="1" applyAlignment="1">
      <alignment horizontal="left" vertical="center"/>
    </xf>
    <xf numFmtId="204" fontId="40" fillId="0" borderId="0" xfId="129" applyNumberFormat="1" applyFont="1" applyAlignment="1">
      <alignment horizontal="left" vertical="center"/>
    </xf>
    <xf numFmtId="0" fontId="40" fillId="29" borderId="33" xfId="129" applyFont="1" applyFill="1" applyBorder="1" applyAlignment="1">
      <alignment horizontal="left" vertical="center"/>
    </xf>
    <xf numFmtId="207" fontId="40" fillId="29" borderId="33" xfId="129" applyNumberFormat="1" applyFont="1" applyFill="1" applyBorder="1" applyAlignment="1">
      <alignment horizontal="center" vertical="center"/>
    </xf>
    <xf numFmtId="204" fontId="36" fillId="0" borderId="0" xfId="129" applyNumberFormat="1" applyFont="1" applyAlignment="1">
      <alignment horizontal="left" vertical="center"/>
    </xf>
    <xf numFmtId="216" fontId="36" fillId="0" borderId="0" xfId="129" applyNumberFormat="1" applyFont="1" applyAlignment="1">
      <alignment horizontal="left" vertical="center"/>
    </xf>
    <xf numFmtId="217" fontId="40" fillId="0" borderId="0" xfId="129" applyNumberFormat="1" applyFont="1" applyAlignment="1">
      <alignment horizontal="left" vertical="center"/>
    </xf>
    <xf numFmtId="0" fontId="40" fillId="25" borderId="33" xfId="129" applyFont="1" applyFill="1" applyBorder="1" applyAlignment="1">
      <alignment horizontal="left" vertical="center"/>
    </xf>
    <xf numFmtId="207" fontId="40" fillId="25" borderId="33" xfId="129" applyNumberFormat="1" applyFont="1" applyFill="1" applyBorder="1" applyAlignment="1">
      <alignment horizontal="center" vertical="center"/>
    </xf>
    <xf numFmtId="196" fontId="40" fillId="0" borderId="0" xfId="129" applyNumberFormat="1" applyFont="1" applyAlignment="1">
      <alignment horizontal="left" vertical="center"/>
    </xf>
    <xf numFmtId="0" fontId="40" fillId="0" borderId="42" xfId="129" applyFont="1" applyBorder="1" applyAlignment="1">
      <alignment horizontal="left" vertical="center"/>
    </xf>
    <xf numFmtId="207" fontId="40" fillId="0" borderId="42" xfId="129" applyNumberFormat="1" applyFont="1" applyBorder="1" applyAlignment="1">
      <alignment horizontal="center" vertical="center"/>
    </xf>
    <xf numFmtId="207" fontId="40" fillId="0" borderId="17" xfId="129" applyNumberFormat="1" applyFont="1" applyBorder="1" applyAlignment="1">
      <alignment horizontal="center" vertical="center"/>
    </xf>
    <xf numFmtId="173" fontId="40" fillId="0" borderId="17" xfId="129" applyNumberFormat="1" applyFont="1" applyBorder="1" applyAlignment="1">
      <alignment horizontal="center" vertical="center"/>
    </xf>
    <xf numFmtId="173" fontId="40" fillId="0" borderId="33" xfId="129" applyNumberFormat="1" applyFont="1" applyBorder="1" applyAlignment="1">
      <alignment horizontal="center" vertical="center"/>
    </xf>
    <xf numFmtId="173" fontId="40" fillId="0" borderId="42" xfId="129" applyNumberFormat="1" applyFont="1" applyBorder="1" applyAlignment="1">
      <alignment horizontal="center" vertical="center"/>
    </xf>
    <xf numFmtId="0" fontId="36" fillId="0" borderId="0" xfId="129" applyFont="1" applyAlignment="1">
      <alignment horizontal="center"/>
    </xf>
    <xf numFmtId="207" fontId="40" fillId="0" borderId="21" xfId="129" applyNumberFormat="1" applyFont="1" applyBorder="1" applyAlignment="1">
      <alignment horizontal="center" vertical="center"/>
    </xf>
    <xf numFmtId="175" fontId="40" fillId="0" borderId="33" xfId="129" applyNumberFormat="1" applyFont="1" applyBorder="1" applyAlignment="1">
      <alignment horizontal="center" vertical="center" wrapText="1"/>
    </xf>
    <xf numFmtId="175" fontId="40" fillId="0" borderId="21" xfId="129" applyNumberFormat="1" applyFont="1" applyBorder="1" applyAlignment="1">
      <alignment horizontal="center" vertical="center" wrapText="1"/>
    </xf>
    <xf numFmtId="170" fontId="40" fillId="0" borderId="11" xfId="129" applyNumberFormat="1" applyFont="1" applyBorder="1" applyAlignment="1">
      <alignment horizontal="center" vertical="center" wrapText="1"/>
    </xf>
    <xf numFmtId="218" fontId="40" fillId="0" borderId="11" xfId="129" applyNumberFormat="1" applyFont="1" applyBorder="1" applyAlignment="1">
      <alignment horizontal="center" vertical="center"/>
    </xf>
    <xf numFmtId="170" fontId="40" fillId="0" borderId="33" xfId="129" applyNumberFormat="1" applyFont="1" applyBorder="1" applyAlignment="1">
      <alignment horizontal="center" vertical="center" wrapText="1"/>
    </xf>
    <xf numFmtId="218" fontId="40" fillId="0" borderId="33" xfId="129" applyNumberFormat="1" applyFont="1" applyBorder="1" applyAlignment="1">
      <alignment horizontal="center" vertical="center"/>
    </xf>
    <xf numFmtId="170" fontId="40" fillId="0" borderId="21" xfId="129" applyNumberFormat="1" applyFont="1" applyBorder="1" applyAlignment="1">
      <alignment horizontal="center" vertical="center" wrapText="1"/>
    </xf>
    <xf numFmtId="218" fontId="40" fillId="0" borderId="21" xfId="129" applyNumberFormat="1" applyFont="1" applyBorder="1" applyAlignment="1">
      <alignment horizontal="center" vertical="center"/>
    </xf>
    <xf numFmtId="219" fontId="36" fillId="0" borderId="0" xfId="129" applyNumberFormat="1" applyFont="1" applyAlignment="1">
      <alignment horizontal="center" vertical="center" wrapText="1"/>
    </xf>
    <xf numFmtId="202" fontId="36" fillId="0" borderId="0" xfId="129" applyNumberFormat="1" applyFont="1" applyAlignment="1">
      <alignment horizontal="center" vertical="center" wrapText="1"/>
    </xf>
    <xf numFmtId="170" fontId="40" fillId="29" borderId="11" xfId="129" applyNumberFormat="1" applyFont="1" applyFill="1" applyBorder="1" applyAlignment="1">
      <alignment horizontal="center" vertical="center" wrapText="1"/>
    </xf>
    <xf numFmtId="218" fontId="40" fillId="29" borderId="33" xfId="129" applyNumberFormat="1" applyFont="1" applyFill="1" applyBorder="1" applyAlignment="1">
      <alignment horizontal="center" vertical="center"/>
    </xf>
    <xf numFmtId="180" fontId="36" fillId="29" borderId="42" xfId="129" applyNumberFormat="1" applyFont="1" applyFill="1" applyBorder="1" applyAlignment="1">
      <alignment horizontal="left" vertical="center" wrapText="1"/>
    </xf>
    <xf numFmtId="218" fontId="40" fillId="0" borderId="42" xfId="129" applyNumberFormat="1" applyFont="1" applyBorder="1" applyAlignment="1">
      <alignment horizontal="center" vertical="center"/>
    </xf>
    <xf numFmtId="0" fontId="36" fillId="0" borderId="0" xfId="129" applyFont="1" applyAlignment="1">
      <alignment vertical="center"/>
    </xf>
    <xf numFmtId="170" fontId="40" fillId="0" borderId="17" xfId="129" applyNumberFormat="1" applyFont="1" applyBorder="1" applyAlignment="1">
      <alignment horizontal="center" vertical="center" wrapText="1"/>
    </xf>
    <xf numFmtId="218" fontId="40" fillId="0" borderId="17" xfId="129" applyNumberFormat="1" applyFont="1" applyBorder="1" applyAlignment="1">
      <alignment horizontal="center" vertical="center"/>
    </xf>
    <xf numFmtId="207" fontId="36" fillId="0" borderId="0" xfId="129" applyNumberFormat="1" applyFont="1" applyAlignment="1">
      <alignment horizontal="center" vertical="center"/>
    </xf>
    <xf numFmtId="199" fontId="36" fillId="0" borderId="0" xfId="129" applyNumberFormat="1" applyFont="1" applyAlignment="1">
      <alignment horizontal="center"/>
    </xf>
    <xf numFmtId="175" fontId="36" fillId="0" borderId="0" xfId="129" applyNumberFormat="1" applyFont="1" applyAlignment="1">
      <alignment horizontal="center" vertical="center" wrapText="1"/>
    </xf>
    <xf numFmtId="220" fontId="36" fillId="0" borderId="0" xfId="129" applyNumberFormat="1" applyFont="1" applyAlignment="1">
      <alignment horizontal="center" vertical="center"/>
    </xf>
    <xf numFmtId="3" fontId="36" fillId="0" borderId="0" xfId="129" applyNumberFormat="1" applyFont="1" applyAlignment="1">
      <alignment horizontal="center" vertical="center"/>
    </xf>
    <xf numFmtId="170" fontId="40" fillId="29" borderId="33" xfId="129" applyNumberFormat="1" applyFont="1" applyFill="1" applyBorder="1" applyAlignment="1">
      <alignment horizontal="center" vertical="center" wrapText="1"/>
    </xf>
    <xf numFmtId="170" fontId="40" fillId="0" borderId="42" xfId="129" applyNumberFormat="1" applyFont="1" applyBorder="1" applyAlignment="1">
      <alignment horizontal="center" vertical="center" wrapText="1"/>
    </xf>
    <xf numFmtId="175" fontId="40" fillId="0" borderId="17" xfId="129" applyNumberFormat="1" applyFont="1" applyBorder="1" applyAlignment="1">
      <alignment horizontal="center" vertical="center" wrapText="1"/>
    </xf>
    <xf numFmtId="175" fontId="40" fillId="0" borderId="11" xfId="129" applyNumberFormat="1" applyFont="1" applyBorder="1" applyAlignment="1">
      <alignment horizontal="center" vertical="center" wrapText="1"/>
    </xf>
    <xf numFmtId="0" fontId="40" fillId="29" borderId="21" xfId="129" applyFont="1" applyFill="1" applyBorder="1" applyAlignment="1">
      <alignment horizontal="left" vertical="center"/>
    </xf>
    <xf numFmtId="207" fontId="40" fillId="29" borderId="21" xfId="129" applyNumberFormat="1" applyFont="1" applyFill="1" applyBorder="1" applyAlignment="1">
      <alignment horizontal="center" vertical="center"/>
    </xf>
    <xf numFmtId="199" fontId="40" fillId="29" borderId="21" xfId="129" applyNumberFormat="1" applyFont="1" applyFill="1" applyBorder="1" applyAlignment="1">
      <alignment horizontal="center" vertical="center"/>
    </xf>
    <xf numFmtId="175" fontId="40" fillId="29" borderId="47" xfId="129" applyNumberFormat="1" applyFont="1" applyFill="1" applyBorder="1" applyAlignment="1">
      <alignment horizontal="center" vertical="center" wrapText="1"/>
    </xf>
    <xf numFmtId="200" fontId="40" fillId="29" borderId="21" xfId="129" applyNumberFormat="1" applyFont="1" applyFill="1" applyBorder="1" applyAlignment="1">
      <alignment horizontal="center" vertical="center"/>
    </xf>
    <xf numFmtId="180" fontId="36" fillId="29" borderId="21" xfId="129" applyNumberFormat="1" applyFont="1" applyFill="1" applyBorder="1" applyAlignment="1">
      <alignment horizontal="left" vertical="center" wrapText="1"/>
    </xf>
    <xf numFmtId="201" fontId="51" fillId="29" borderId="21" xfId="129" applyNumberFormat="1" applyFont="1" applyFill="1" applyBorder="1" applyAlignment="1">
      <alignment horizontal="center" vertical="center" wrapText="1"/>
    </xf>
    <xf numFmtId="2" fontId="36" fillId="29" borderId="44" xfId="129" applyNumberFormat="1" applyFont="1" applyFill="1" applyBorder="1" applyAlignment="1">
      <alignment horizontal="center" vertical="center" wrapText="1"/>
    </xf>
    <xf numFmtId="175" fontId="40" fillId="0" borderId="26" xfId="129" applyNumberFormat="1" applyFont="1" applyBorder="1" applyAlignment="1">
      <alignment horizontal="center" vertical="center" wrapText="1"/>
    </xf>
    <xf numFmtId="171" fontId="40" fillId="0" borderId="17" xfId="129" applyNumberFormat="1" applyFont="1" applyBorder="1" applyAlignment="1">
      <alignment horizontal="center" vertical="center"/>
    </xf>
    <xf numFmtId="1" fontId="36" fillId="0" borderId="0" xfId="129" applyNumberFormat="1" applyFont="1" applyAlignment="1">
      <alignment horizontal="center" vertical="center" wrapText="1"/>
    </xf>
    <xf numFmtId="221" fontId="36" fillId="0" borderId="0" xfId="129" applyNumberFormat="1" applyFont="1" applyAlignment="1">
      <alignment horizontal="center" vertical="center"/>
    </xf>
    <xf numFmtId="222" fontId="36" fillId="0" borderId="0" xfId="129" applyNumberFormat="1" applyFont="1" applyAlignment="1">
      <alignment horizontal="center" vertical="center"/>
    </xf>
    <xf numFmtId="193" fontId="36" fillId="0" borderId="0" xfId="129" applyNumberFormat="1" applyFont="1" applyAlignment="1">
      <alignment vertical="center"/>
    </xf>
    <xf numFmtId="3" fontId="36" fillId="0" borderId="0" xfId="129" applyNumberFormat="1" applyFont="1" applyAlignment="1">
      <alignment horizontal="center"/>
    </xf>
    <xf numFmtId="2" fontId="36" fillId="0" borderId="0" xfId="129" applyNumberFormat="1" applyFont="1"/>
    <xf numFmtId="207" fontId="41" fillId="0" borderId="11" xfId="129" applyNumberFormat="1" applyFont="1" applyBorder="1" applyAlignment="1">
      <alignment horizontal="center" vertical="center"/>
    </xf>
    <xf numFmtId="171" fontId="40" fillId="0" borderId="11" xfId="129" applyNumberFormat="1" applyFont="1" applyBorder="1" applyAlignment="1">
      <alignment horizontal="center" vertical="center"/>
    </xf>
    <xf numFmtId="0" fontId="40" fillId="25" borderId="11" xfId="129" applyFont="1" applyFill="1" applyBorder="1" applyAlignment="1">
      <alignment horizontal="left" vertical="center"/>
    </xf>
    <xf numFmtId="207" fontId="40" fillId="25" borderId="11" xfId="129" applyNumberFormat="1" applyFont="1" applyFill="1" applyBorder="1" applyAlignment="1">
      <alignment horizontal="center" vertical="center"/>
    </xf>
    <xf numFmtId="199" fontId="40" fillId="25" borderId="11" xfId="129" applyNumberFormat="1" applyFont="1" applyFill="1" applyBorder="1" applyAlignment="1">
      <alignment horizontal="center" vertical="center"/>
    </xf>
    <xf numFmtId="175" fontId="40" fillId="25" borderId="33" xfId="129" applyNumberFormat="1" applyFont="1" applyFill="1" applyBorder="1" applyAlignment="1">
      <alignment horizontal="center" vertical="center" wrapText="1"/>
    </xf>
    <xf numFmtId="171" fontId="40" fillId="25" borderId="11" xfId="129" applyNumberFormat="1" applyFont="1" applyFill="1" applyBorder="1" applyAlignment="1">
      <alignment horizontal="center" vertical="center"/>
    </xf>
    <xf numFmtId="180" fontId="36" fillId="25" borderId="11" xfId="129" applyNumberFormat="1" applyFont="1" applyFill="1" applyBorder="1" applyAlignment="1">
      <alignment horizontal="left" vertical="center" wrapText="1"/>
    </xf>
    <xf numFmtId="2" fontId="36" fillId="25" borderId="45" xfId="129" applyNumberFormat="1" applyFont="1" applyFill="1" applyBorder="1" applyAlignment="1">
      <alignment horizontal="center" vertical="center" wrapText="1"/>
    </xf>
    <xf numFmtId="2" fontId="36" fillId="0" borderId="48" xfId="129" applyNumberFormat="1" applyFont="1" applyBorder="1" applyAlignment="1">
      <alignment horizontal="center" vertical="center" wrapText="1"/>
    </xf>
    <xf numFmtId="0" fontId="40" fillId="0" borderId="12" xfId="129" applyFont="1" applyBorder="1" applyAlignment="1">
      <alignment horizontal="left" vertical="center"/>
    </xf>
    <xf numFmtId="0" fontId="52" fillId="0" borderId="0" xfId="129" applyFont="1" applyAlignment="1">
      <alignment horizontal="center" vertical="center"/>
    </xf>
    <xf numFmtId="0" fontId="40" fillId="0" borderId="13" xfId="129" applyFont="1" applyBorder="1" applyAlignment="1">
      <alignment horizontal="left" vertical="center"/>
    </xf>
    <xf numFmtId="171" fontId="40" fillId="0" borderId="47" xfId="129" applyNumberFormat="1" applyFont="1" applyBorder="1" applyAlignment="1">
      <alignment horizontal="center" vertical="center"/>
    </xf>
    <xf numFmtId="223" fontId="36" fillId="0" borderId="0" xfId="129" applyNumberFormat="1" applyFont="1" applyAlignment="1">
      <alignment horizontal="center" vertical="center" wrapText="1"/>
    </xf>
    <xf numFmtId="166" fontId="36" fillId="0" borderId="0" xfId="129" applyNumberFormat="1" applyFont="1"/>
    <xf numFmtId="193" fontId="40" fillId="0" borderId="17" xfId="129" applyNumberFormat="1" applyFont="1" applyBorder="1" applyAlignment="1">
      <alignment horizontal="center" vertical="center"/>
    </xf>
    <xf numFmtId="2" fontId="36" fillId="0" borderId="0" xfId="129" applyNumberFormat="1" applyFont="1" applyAlignment="1">
      <alignment horizontal="left" vertical="center"/>
    </xf>
    <xf numFmtId="193" fontId="40" fillId="0" borderId="21" xfId="129" applyNumberFormat="1" applyFont="1" applyBorder="1" applyAlignment="1">
      <alignment horizontal="center" vertical="center"/>
    </xf>
    <xf numFmtId="224" fontId="40" fillId="0" borderId="17" xfId="129" applyNumberFormat="1" applyFont="1" applyBorder="1" applyAlignment="1">
      <alignment horizontal="center" vertical="center"/>
    </xf>
    <xf numFmtId="1" fontId="36" fillId="0" borderId="0" xfId="129" applyNumberFormat="1" applyFont="1" applyAlignment="1">
      <alignment horizontal="center" vertical="center"/>
    </xf>
    <xf numFmtId="224" fontId="40" fillId="0" borderId="33" xfId="129" applyNumberFormat="1" applyFont="1" applyBorder="1" applyAlignment="1">
      <alignment horizontal="center" vertical="center"/>
    </xf>
    <xf numFmtId="2" fontId="40" fillId="0" borderId="0" xfId="129" applyNumberFormat="1" applyFont="1" applyAlignment="1">
      <alignment horizontal="left" vertical="center"/>
    </xf>
    <xf numFmtId="224" fontId="40" fillId="25" borderId="33" xfId="129" applyNumberFormat="1" applyFont="1" applyFill="1" applyBorder="1" applyAlignment="1">
      <alignment horizontal="center" vertical="center"/>
    </xf>
    <xf numFmtId="4" fontId="40" fillId="0" borderId="17" xfId="129" applyNumberFormat="1" applyFont="1" applyBorder="1" applyAlignment="1">
      <alignment horizontal="center" vertical="center"/>
    </xf>
    <xf numFmtId="4" fontId="40" fillId="0" borderId="33" xfId="129" applyNumberFormat="1" applyFont="1" applyBorder="1" applyAlignment="1">
      <alignment horizontal="center" vertical="center"/>
    </xf>
    <xf numFmtId="4" fontId="40" fillId="0" borderId="21" xfId="129" applyNumberFormat="1" applyFont="1" applyBorder="1" applyAlignment="1">
      <alignment horizontal="center" vertical="center"/>
    </xf>
    <xf numFmtId="0" fontId="40" fillId="0" borderId="47" xfId="129" applyFont="1" applyBorder="1" applyAlignment="1">
      <alignment horizontal="left" vertical="center"/>
    </xf>
    <xf numFmtId="207" fontId="40" fillId="0" borderId="47" xfId="129" applyNumberFormat="1" applyFont="1" applyBorder="1" applyAlignment="1">
      <alignment horizontal="center" vertical="center"/>
    </xf>
    <xf numFmtId="199" fontId="40" fillId="0" borderId="47" xfId="129" applyNumberFormat="1" applyFont="1" applyBorder="1" applyAlignment="1">
      <alignment horizontal="center" vertical="center"/>
    </xf>
    <xf numFmtId="180" fontId="36" fillId="0" borderId="47" xfId="129" applyNumberFormat="1" applyFont="1" applyBorder="1" applyAlignment="1">
      <alignment horizontal="left" vertical="center" wrapText="1"/>
    </xf>
    <xf numFmtId="2" fontId="36" fillId="0" borderId="51" xfId="129" applyNumberFormat="1" applyFont="1" applyBorder="1" applyAlignment="1">
      <alignment horizontal="center" vertical="center" wrapText="1"/>
    </xf>
    <xf numFmtId="0" fontId="40" fillId="29" borderId="42" xfId="129" applyFont="1" applyFill="1" applyBorder="1" applyAlignment="1">
      <alignment horizontal="left" vertical="center"/>
    </xf>
    <xf numFmtId="207" fontId="40" fillId="29" borderId="42" xfId="129" applyNumberFormat="1" applyFont="1" applyFill="1" applyBorder="1" applyAlignment="1">
      <alignment horizontal="center" vertical="center"/>
    </xf>
    <xf numFmtId="199" fontId="40" fillId="29" borderId="42" xfId="129" applyNumberFormat="1" applyFont="1" applyFill="1" applyBorder="1" applyAlignment="1">
      <alignment horizontal="center" vertical="center"/>
    </xf>
    <xf numFmtId="170" fontId="40" fillId="29" borderId="42" xfId="129" applyNumberFormat="1" applyFont="1" applyFill="1" applyBorder="1" applyAlignment="1">
      <alignment horizontal="center" vertical="center" wrapText="1"/>
    </xf>
    <xf numFmtId="218" fontId="40" fillId="29" borderId="42" xfId="129" applyNumberFormat="1" applyFont="1" applyFill="1" applyBorder="1" applyAlignment="1">
      <alignment horizontal="center" vertical="center"/>
    </xf>
    <xf numFmtId="2" fontId="38" fillId="0" borderId="27" xfId="129" applyNumberFormat="1" applyFont="1" applyBorder="1" applyAlignment="1">
      <alignment horizontal="center" vertical="center" wrapText="1"/>
    </xf>
    <xf numFmtId="193" fontId="36" fillId="0" borderId="28" xfId="129" applyNumberFormat="1" applyFont="1" applyBorder="1" applyAlignment="1">
      <alignment horizontal="center" vertical="center" wrapText="1"/>
    </xf>
    <xf numFmtId="1" fontId="36" fillId="0" borderId="28" xfId="129" applyNumberFormat="1" applyFont="1" applyBorder="1" applyAlignment="1">
      <alignment horizontal="center" vertical="center"/>
    </xf>
    <xf numFmtId="0" fontId="36" fillId="0" borderId="28" xfId="129" applyFont="1" applyBorder="1"/>
    <xf numFmtId="0" fontId="36" fillId="0" borderId="29" xfId="129" applyFont="1" applyBorder="1"/>
    <xf numFmtId="0" fontId="31" fillId="0" borderId="31" xfId="129" applyFont="1" applyBorder="1"/>
    <xf numFmtId="193" fontId="36" fillId="0" borderId="0" xfId="129" applyNumberFormat="1" applyFont="1" applyAlignment="1">
      <alignment horizontal="right" vertical="center" wrapText="1"/>
    </xf>
    <xf numFmtId="225" fontId="36" fillId="0" borderId="0" xfId="129" applyNumberFormat="1" applyFont="1" applyAlignment="1">
      <alignment horizontal="center" vertical="center"/>
    </xf>
    <xf numFmtId="0" fontId="36" fillId="0" borderId="32" xfId="129" applyFont="1" applyBorder="1"/>
    <xf numFmtId="0" fontId="36" fillId="0" borderId="0" xfId="129" applyFont="1" applyAlignment="1">
      <alignment horizontal="right"/>
    </xf>
    <xf numFmtId="225" fontId="38" fillId="0" borderId="0" xfId="129" applyNumberFormat="1" applyFont="1" applyAlignment="1">
      <alignment horizontal="center" vertical="center"/>
    </xf>
    <xf numFmtId="226" fontId="36" fillId="0" borderId="0" xfId="129" applyNumberFormat="1" applyFont="1" applyAlignment="1">
      <alignment horizontal="center" vertical="center"/>
    </xf>
    <xf numFmtId="227" fontId="36" fillId="0" borderId="0" xfId="129" applyNumberFormat="1" applyFont="1" applyAlignment="1">
      <alignment horizontal="center" vertical="center"/>
    </xf>
    <xf numFmtId="228" fontId="36" fillId="0" borderId="0" xfId="129" applyNumberFormat="1" applyFont="1" applyAlignment="1">
      <alignment horizontal="center" vertical="center"/>
    </xf>
    <xf numFmtId="229" fontId="36" fillId="0" borderId="0" xfId="129" applyNumberFormat="1" applyFont="1" applyAlignment="1">
      <alignment horizontal="center" vertical="center"/>
    </xf>
    <xf numFmtId="230" fontId="36" fillId="0" borderId="0" xfId="129" applyNumberFormat="1" applyFont="1" applyAlignment="1">
      <alignment horizontal="center" vertical="center"/>
    </xf>
    <xf numFmtId="190" fontId="36" fillId="0" borderId="0" xfId="129" applyNumberFormat="1" applyFont="1" applyAlignment="1">
      <alignment horizontal="center" vertical="center"/>
    </xf>
    <xf numFmtId="0" fontId="36" fillId="0" borderId="31" xfId="129" applyFont="1" applyBorder="1" applyAlignment="1">
      <alignment horizontal="right"/>
    </xf>
    <xf numFmtId="231" fontId="36" fillId="0" borderId="0" xfId="129" applyNumberFormat="1" applyFont="1" applyAlignment="1">
      <alignment horizontal="left"/>
    </xf>
    <xf numFmtId="210" fontId="36" fillId="0" borderId="0" xfId="132" applyNumberFormat="1" applyFont="1" applyAlignment="1">
      <alignment horizontal="left" vertical="center"/>
    </xf>
    <xf numFmtId="232" fontId="36" fillId="0" borderId="0" xfId="129" applyNumberFormat="1" applyFont="1" applyAlignment="1">
      <alignment horizontal="center" vertical="center"/>
    </xf>
    <xf numFmtId="233" fontId="36" fillId="25" borderId="0" xfId="129" applyNumberFormat="1" applyFont="1" applyFill="1" applyAlignment="1">
      <alignment horizontal="center" vertical="center"/>
    </xf>
    <xf numFmtId="234" fontId="36" fillId="0" borderId="0" xfId="129" applyNumberFormat="1" applyFont="1"/>
    <xf numFmtId="235" fontId="36" fillId="0" borderId="32" xfId="129" applyNumberFormat="1" applyFont="1" applyBorder="1" applyAlignment="1">
      <alignment horizontal="center"/>
    </xf>
    <xf numFmtId="0" fontId="36" fillId="0" borderId="31" xfId="129" applyFont="1" applyBorder="1"/>
    <xf numFmtId="236" fontId="36" fillId="0" borderId="0" xfId="129" applyNumberFormat="1" applyFont="1" applyAlignment="1">
      <alignment horizontal="center" vertical="center"/>
    </xf>
    <xf numFmtId="233" fontId="36" fillId="0" borderId="0" xfId="129" applyNumberFormat="1" applyFont="1" applyAlignment="1">
      <alignment horizontal="center" vertical="center"/>
    </xf>
    <xf numFmtId="237" fontId="36" fillId="0" borderId="0" xfId="129" applyNumberFormat="1" applyFont="1" applyAlignment="1">
      <alignment horizontal="center" vertical="center"/>
    </xf>
    <xf numFmtId="218" fontId="52" fillId="0" borderId="32" xfId="129" applyNumberFormat="1" applyFont="1" applyBorder="1" applyAlignment="1">
      <alignment horizontal="center" vertical="center"/>
    </xf>
    <xf numFmtId="0" fontId="40" fillId="29" borderId="11" xfId="129" applyFont="1" applyFill="1" applyBorder="1" applyAlignment="1">
      <alignment horizontal="left" vertical="center"/>
    </xf>
    <xf numFmtId="207" fontId="40" fillId="29" borderId="11" xfId="129" applyNumberFormat="1" applyFont="1" applyFill="1" applyBorder="1" applyAlignment="1">
      <alignment horizontal="center" vertical="center"/>
    </xf>
    <xf numFmtId="199" fontId="40" fillId="29" borderId="11" xfId="129" applyNumberFormat="1" applyFont="1" applyFill="1" applyBorder="1" applyAlignment="1">
      <alignment horizontal="center" vertical="center"/>
    </xf>
    <xf numFmtId="218" fontId="40" fillId="29" borderId="11" xfId="129" applyNumberFormat="1" applyFont="1" applyFill="1" applyBorder="1" applyAlignment="1">
      <alignment horizontal="center" vertical="center"/>
    </xf>
    <xf numFmtId="180" fontId="36" fillId="29" borderId="11" xfId="129" applyNumberFormat="1" applyFont="1" applyFill="1" applyBorder="1" applyAlignment="1">
      <alignment horizontal="left" vertical="center" wrapText="1"/>
    </xf>
    <xf numFmtId="180" fontId="36" fillId="29" borderId="35" xfId="129" applyNumberFormat="1" applyFont="1" applyFill="1" applyBorder="1" applyAlignment="1">
      <alignment horizontal="left" vertical="center" wrapText="1"/>
    </xf>
    <xf numFmtId="201" fontId="51" fillId="30" borderId="35" xfId="129" applyNumberFormat="1" applyFont="1" applyFill="1" applyBorder="1" applyAlignment="1">
      <alignment horizontal="center" vertical="center" wrapText="1"/>
    </xf>
    <xf numFmtId="0" fontId="31" fillId="0" borderId="52" xfId="129" applyFont="1" applyBorder="1"/>
    <xf numFmtId="193" fontId="36" fillId="0" borderId="53" xfId="129" applyNumberFormat="1" applyFont="1" applyBorder="1" applyAlignment="1">
      <alignment horizontal="center" vertical="center" wrapText="1"/>
    </xf>
    <xf numFmtId="0" fontId="40" fillId="25" borderId="53" xfId="129" applyFont="1" applyFill="1" applyBorder="1" applyAlignment="1">
      <alignment horizontal="center" vertical="center" wrapText="1"/>
    </xf>
    <xf numFmtId="0" fontId="36" fillId="0" borderId="53" xfId="129" applyFont="1" applyBorder="1" applyAlignment="1">
      <alignment horizontal="center" vertical="center"/>
    </xf>
    <xf numFmtId="233" fontId="36" fillId="25" borderId="53" xfId="129" applyNumberFormat="1" applyFont="1" applyFill="1" applyBorder="1" applyAlignment="1">
      <alignment horizontal="center" vertical="center"/>
    </xf>
    <xf numFmtId="0" fontId="36" fillId="0" borderId="54" xfId="129" applyFont="1" applyBorder="1"/>
    <xf numFmtId="0" fontId="36" fillId="0" borderId="0" xfId="129" applyFont="1" applyAlignment="1">
      <alignment horizontal="center" vertical="center" wrapText="1"/>
    </xf>
    <xf numFmtId="0" fontId="40" fillId="0" borderId="0" xfId="129" applyFont="1" applyAlignment="1">
      <alignment horizontal="left" vertical="center"/>
    </xf>
    <xf numFmtId="0" fontId="40" fillId="0" borderId="17" xfId="129" applyFont="1" applyBorder="1"/>
    <xf numFmtId="0" fontId="40" fillId="0" borderId="17" xfId="129" applyFont="1" applyBorder="1" applyAlignment="1">
      <alignment horizontal="center" vertical="center"/>
    </xf>
    <xf numFmtId="0" fontId="36" fillId="0" borderId="17" xfId="129" applyFont="1" applyBorder="1" applyAlignment="1">
      <alignment horizontal="center" vertical="center"/>
    </xf>
    <xf numFmtId="0" fontId="36" fillId="0" borderId="18" xfId="129" applyFont="1" applyBorder="1" applyAlignment="1">
      <alignment horizontal="center" vertical="center"/>
    </xf>
    <xf numFmtId="2" fontId="36" fillId="0" borderId="20" xfId="129" applyNumberFormat="1" applyFont="1" applyBorder="1" applyAlignment="1">
      <alignment horizontal="center" vertical="center" wrapText="1"/>
    </xf>
    <xf numFmtId="2" fontId="36" fillId="0" borderId="22" xfId="129" applyNumberFormat="1" applyFont="1" applyBorder="1" applyAlignment="1">
      <alignment horizontal="center" vertical="center" wrapText="1"/>
    </xf>
    <xf numFmtId="0" fontId="40" fillId="0" borderId="33" xfId="129" applyFont="1" applyBorder="1"/>
    <xf numFmtId="0" fontId="40" fillId="0" borderId="33" xfId="129" applyFont="1" applyBorder="1" applyAlignment="1">
      <alignment horizontal="center" vertical="center"/>
    </xf>
    <xf numFmtId="0" fontId="36" fillId="0" borderId="20" xfId="129" applyFont="1" applyBorder="1" applyAlignment="1">
      <alignment horizontal="center" vertical="center"/>
    </xf>
    <xf numFmtId="0" fontId="40" fillId="0" borderId="21" xfId="129" applyFont="1" applyBorder="1"/>
    <xf numFmtId="0" fontId="40" fillId="0" borderId="21" xfId="129" applyFont="1" applyBorder="1" applyAlignment="1">
      <alignment horizontal="center" vertical="center"/>
    </xf>
    <xf numFmtId="0" fontId="36" fillId="0" borderId="21" xfId="129" applyFont="1" applyBorder="1" applyAlignment="1">
      <alignment horizontal="center" vertical="center"/>
    </xf>
    <xf numFmtId="0" fontId="36" fillId="0" borderId="22" xfId="129" applyFont="1" applyBorder="1" applyAlignment="1">
      <alignment horizontal="center" vertical="center"/>
    </xf>
    <xf numFmtId="0" fontId="55" fillId="0" borderId="0" xfId="0" applyFont="1"/>
    <xf numFmtId="193" fontId="40" fillId="0" borderId="12" xfId="129" applyNumberFormat="1" applyFont="1" applyBorder="1" applyAlignment="1">
      <alignment vertical="center" wrapText="1"/>
    </xf>
    <xf numFmtId="193" fontId="40" fillId="0" borderId="19" xfId="129" applyNumberFormat="1" applyFont="1" applyBorder="1" applyAlignment="1">
      <alignment vertical="center" wrapText="1"/>
    </xf>
    <xf numFmtId="193" fontId="40" fillId="0" borderId="41" xfId="129" applyNumberFormat="1" applyFont="1" applyBorder="1" applyAlignment="1">
      <alignment vertical="center" wrapText="1"/>
    </xf>
    <xf numFmtId="193" fontId="40" fillId="0" borderId="13" xfId="129" applyNumberFormat="1" applyFont="1" applyBorder="1" applyAlignment="1">
      <alignment vertical="center" wrapText="1"/>
    </xf>
    <xf numFmtId="193" fontId="40" fillId="0" borderId="23" xfId="129" applyNumberFormat="1" applyFont="1" applyBorder="1" applyAlignment="1">
      <alignment vertical="center" wrapText="1"/>
    </xf>
    <xf numFmtId="193" fontId="40" fillId="0" borderId="25" xfId="129" applyNumberFormat="1" applyFont="1" applyBorder="1" applyAlignment="1">
      <alignment vertical="center" wrapText="1"/>
    </xf>
    <xf numFmtId="193" fontId="40" fillId="0" borderId="38" xfId="129" applyNumberFormat="1" applyFont="1" applyBorder="1" applyAlignment="1">
      <alignment vertical="center" wrapText="1"/>
    </xf>
    <xf numFmtId="193" fontId="40" fillId="0" borderId="46" xfId="129" applyNumberFormat="1" applyFont="1" applyBorder="1" applyAlignment="1">
      <alignment vertical="center" wrapText="1"/>
    </xf>
    <xf numFmtId="193" fontId="40" fillId="0" borderId="49" xfId="129" applyNumberFormat="1" applyFont="1" applyBorder="1" applyAlignment="1">
      <alignment vertical="center" wrapText="1"/>
    </xf>
    <xf numFmtId="193" fontId="40" fillId="0" borderId="50" xfId="129" applyNumberFormat="1" applyFont="1" applyBorder="1" applyAlignment="1">
      <alignment vertical="center" wrapText="1"/>
    </xf>
    <xf numFmtId="0" fontId="40" fillId="0" borderId="19" xfId="129" applyFont="1" applyBorder="1" applyAlignment="1">
      <alignment vertical="center"/>
    </xf>
    <xf numFmtId="0" fontId="40" fillId="0" borderId="13" xfId="129" applyFont="1" applyBorder="1" applyAlignment="1">
      <alignment vertical="center"/>
    </xf>
    <xf numFmtId="0" fontId="40" fillId="0" borderId="25" xfId="129" applyFont="1" applyBorder="1" applyAlignment="1">
      <alignment vertical="center"/>
    </xf>
    <xf numFmtId="0" fontId="40" fillId="0" borderId="38" xfId="129" applyFont="1" applyBorder="1" applyAlignment="1">
      <alignment vertical="center"/>
    </xf>
    <xf numFmtId="0" fontId="40" fillId="0" borderId="46" xfId="129" applyFont="1" applyBorder="1" applyAlignment="1">
      <alignment vertical="center"/>
    </xf>
    <xf numFmtId="0" fontId="50" fillId="0" borderId="0" xfId="129" applyFont="1" applyAlignment="1">
      <alignment horizontal="center"/>
    </xf>
    <xf numFmtId="238" fontId="36" fillId="0" borderId="39" xfId="129" applyNumberFormat="1" applyFont="1" applyBorder="1" applyAlignment="1">
      <alignment horizontal="center" vertical="center" wrapText="1"/>
    </xf>
    <xf numFmtId="238" fontId="36" fillId="0" borderId="0" xfId="129" applyNumberFormat="1" applyFont="1" applyAlignment="1">
      <alignment horizontal="center" vertical="center"/>
    </xf>
    <xf numFmtId="238" fontId="36" fillId="0" borderId="15" xfId="129" applyNumberFormat="1" applyFont="1" applyBorder="1" applyAlignment="1">
      <alignment horizontal="center" vertical="center" wrapText="1"/>
    </xf>
    <xf numFmtId="238" fontId="49" fillId="0" borderId="35" xfId="129" applyNumberFormat="1" applyFont="1" applyBorder="1" applyAlignment="1">
      <alignment horizontal="center" vertical="center" wrapText="1"/>
    </xf>
    <xf numFmtId="238" fontId="36" fillId="0" borderId="40" xfId="129" applyNumberFormat="1" applyFont="1" applyBorder="1" applyAlignment="1">
      <alignment horizontal="center" vertical="center" wrapText="1"/>
    </xf>
    <xf numFmtId="238" fontId="36" fillId="0" borderId="43" xfId="129" applyNumberFormat="1" applyFont="1" applyBorder="1" applyAlignment="1">
      <alignment horizontal="center" vertical="center" wrapText="1"/>
    </xf>
    <xf numFmtId="238" fontId="36" fillId="0" borderId="44" xfId="129" applyNumberFormat="1" applyFont="1" applyBorder="1" applyAlignment="1">
      <alignment horizontal="center" vertical="center" wrapText="1"/>
    </xf>
    <xf numFmtId="238" fontId="36" fillId="0" borderId="45" xfId="129" applyNumberFormat="1" applyFont="1" applyBorder="1" applyAlignment="1">
      <alignment horizontal="center" vertical="center" wrapText="1"/>
    </xf>
    <xf numFmtId="238" fontId="36" fillId="0" borderId="48" xfId="129" applyNumberFormat="1" applyFont="1" applyBorder="1" applyAlignment="1">
      <alignment horizontal="center" vertical="center" wrapText="1"/>
    </xf>
    <xf numFmtId="238" fontId="36" fillId="0" borderId="51" xfId="129" applyNumberFormat="1" applyFont="1" applyBorder="1" applyAlignment="1">
      <alignment horizontal="center" vertical="center" wrapText="1"/>
    </xf>
    <xf numFmtId="238" fontId="36" fillId="0" borderId="18" xfId="129" applyNumberFormat="1" applyFont="1" applyBorder="1" applyAlignment="1">
      <alignment horizontal="center" vertical="center"/>
    </xf>
    <xf numFmtId="238" fontId="36" fillId="0" borderId="20" xfId="129" applyNumberFormat="1" applyFont="1" applyBorder="1" applyAlignment="1">
      <alignment horizontal="center" vertical="center" wrapText="1"/>
    </xf>
    <xf numFmtId="238" fontId="36" fillId="0" borderId="22" xfId="129" applyNumberFormat="1" applyFont="1" applyBorder="1" applyAlignment="1">
      <alignment horizontal="center" vertical="center" wrapText="1"/>
    </xf>
    <xf numFmtId="238" fontId="36" fillId="0" borderId="20" xfId="129" applyNumberFormat="1" applyFont="1" applyBorder="1" applyAlignment="1">
      <alignment horizontal="center" vertical="center"/>
    </xf>
    <xf numFmtId="238" fontId="36" fillId="0" borderId="22" xfId="129" applyNumberFormat="1" applyFont="1" applyBorder="1" applyAlignment="1">
      <alignment horizontal="center" vertical="center"/>
    </xf>
    <xf numFmtId="0" fontId="40" fillId="0" borderId="56" xfId="129" applyFont="1" applyBorder="1" applyAlignment="1">
      <alignment horizontal="left" vertical="center"/>
    </xf>
    <xf numFmtId="207" fontId="40" fillId="0" borderId="56" xfId="129" applyNumberFormat="1" applyFont="1" applyBorder="1" applyAlignment="1">
      <alignment horizontal="center" vertical="center"/>
    </xf>
    <xf numFmtId="199" fontId="40" fillId="0" borderId="56" xfId="129" applyNumberFormat="1" applyFont="1" applyBorder="1" applyAlignment="1">
      <alignment horizontal="center" vertical="center"/>
    </xf>
    <xf numFmtId="170" fontId="40" fillId="0" borderId="56" xfId="129" applyNumberFormat="1" applyFont="1" applyBorder="1" applyAlignment="1">
      <alignment horizontal="center" vertical="center" wrapText="1"/>
    </xf>
    <xf numFmtId="218" fontId="40" fillId="0" borderId="56" xfId="129" applyNumberFormat="1" applyFont="1" applyBorder="1" applyAlignment="1">
      <alignment horizontal="center" vertical="center"/>
    </xf>
    <xf numFmtId="180" fontId="36" fillId="0" borderId="56" xfId="129" applyNumberFormat="1" applyFont="1" applyBorder="1" applyAlignment="1">
      <alignment horizontal="left" vertical="center" wrapText="1"/>
    </xf>
    <xf numFmtId="201" fontId="51" fillId="30" borderId="56" xfId="129" applyNumberFormat="1" applyFont="1" applyFill="1" applyBorder="1" applyAlignment="1">
      <alignment horizontal="center" vertical="center" wrapText="1"/>
    </xf>
    <xf numFmtId="2" fontId="36" fillId="0" borderId="57" xfId="129" applyNumberFormat="1" applyFont="1" applyBorder="1" applyAlignment="1">
      <alignment horizontal="center" vertical="center" wrapText="1"/>
    </xf>
    <xf numFmtId="238" fontId="36" fillId="0" borderId="57" xfId="129" applyNumberFormat="1" applyFont="1" applyBorder="1" applyAlignment="1">
      <alignment horizontal="center" vertical="center" wrapText="1"/>
    </xf>
    <xf numFmtId="180" fontId="36" fillId="0" borderId="26" xfId="129" applyNumberFormat="1" applyFont="1" applyBorder="1" applyAlignment="1">
      <alignment horizontal="left" vertical="center" wrapText="1"/>
    </xf>
    <xf numFmtId="180" fontId="36" fillId="29" borderId="56" xfId="129" applyNumberFormat="1" applyFont="1" applyFill="1" applyBorder="1" applyAlignment="1">
      <alignment horizontal="left" vertical="center" wrapText="1"/>
    </xf>
    <xf numFmtId="170" fontId="40" fillId="0" borderId="47" xfId="129" applyNumberFormat="1" applyFont="1" applyBorder="1" applyAlignment="1">
      <alignment horizontal="center" vertical="center" wrapText="1"/>
    </xf>
    <xf numFmtId="193" fontId="40" fillId="0" borderId="58" xfId="129" applyNumberFormat="1" applyFont="1" applyBorder="1" applyAlignment="1">
      <alignment vertical="center" wrapText="1"/>
    </xf>
    <xf numFmtId="0" fontId="40" fillId="0" borderId="23" xfId="129" applyFont="1" applyBorder="1" applyAlignment="1">
      <alignment horizontal="left" vertical="center"/>
    </xf>
    <xf numFmtId="0" fontId="40" fillId="0" borderId="56" xfId="129" applyFont="1" applyBorder="1" applyAlignment="1">
      <alignment vertical="center" wrapText="1"/>
    </xf>
    <xf numFmtId="224" fontId="40" fillId="0" borderId="56" xfId="129" applyNumberFormat="1" applyFont="1" applyBorder="1" applyAlignment="1">
      <alignment vertical="center"/>
    </xf>
    <xf numFmtId="224" fontId="40" fillId="0" borderId="21" xfId="129" applyNumberFormat="1" applyFont="1" applyBorder="1" applyAlignment="1">
      <alignment horizontal="center" vertical="center"/>
    </xf>
    <xf numFmtId="238" fontId="36" fillId="0" borderId="18" xfId="129" applyNumberFormat="1" applyFont="1" applyBorder="1" applyAlignment="1">
      <alignment horizontal="center" vertical="center" wrapText="1"/>
    </xf>
    <xf numFmtId="193" fontId="40" fillId="0" borderId="19" xfId="129" applyNumberFormat="1" applyFont="1" applyBorder="1" applyAlignment="1">
      <alignment vertical="center"/>
    </xf>
    <xf numFmtId="193" fontId="40" fillId="0" borderId="12" xfId="129" applyNumberFormat="1" applyFont="1" applyBorder="1" applyAlignment="1">
      <alignment vertical="center"/>
    </xf>
    <xf numFmtId="193" fontId="40" fillId="0" borderId="13" xfId="129" applyNumberFormat="1" applyFont="1" applyBorder="1" applyAlignment="1">
      <alignment vertical="center"/>
    </xf>
    <xf numFmtId="2" fontId="36" fillId="0" borderId="36" xfId="129" applyNumberFormat="1" applyFont="1" applyBorder="1" applyAlignment="1">
      <alignment horizontal="center" vertical="center" wrapText="1"/>
    </xf>
    <xf numFmtId="2" fontId="36" fillId="0" borderId="59" xfId="129" applyNumberFormat="1" applyFont="1" applyBorder="1" applyAlignment="1">
      <alignment horizontal="center" vertical="center" wrapText="1"/>
    </xf>
    <xf numFmtId="2" fontId="36" fillId="0" borderId="37" xfId="129" applyNumberFormat="1" applyFont="1" applyBorder="1" applyAlignment="1">
      <alignment horizontal="center" vertical="center" wrapText="1"/>
    </xf>
    <xf numFmtId="193" fontId="40" fillId="0" borderId="12" xfId="129" applyNumberFormat="1" applyFont="1" applyBorder="1" applyAlignment="1">
      <alignment horizontal="left" vertical="center" wrapText="1"/>
    </xf>
    <xf numFmtId="193" fontId="40" fillId="0" borderId="19" xfId="129" applyNumberFormat="1" applyFont="1" applyBorder="1" applyAlignment="1">
      <alignment horizontal="left" vertical="center" wrapText="1"/>
    </xf>
    <xf numFmtId="193" fontId="40" fillId="0" borderId="41" xfId="129" applyNumberFormat="1" applyFont="1" applyBorder="1" applyAlignment="1">
      <alignment horizontal="left" vertical="center" wrapText="1"/>
    </xf>
    <xf numFmtId="193" fontId="40" fillId="0" borderId="13" xfId="129" applyNumberFormat="1" applyFont="1" applyBorder="1" applyAlignment="1">
      <alignment horizontal="left" vertical="center" wrapText="1"/>
    </xf>
    <xf numFmtId="238" fontId="36" fillId="0" borderId="55" xfId="129" applyNumberFormat="1" applyFont="1" applyBorder="1" applyAlignment="1">
      <alignment horizontal="center" vertical="center" wrapText="1"/>
    </xf>
    <xf numFmtId="0" fontId="40" fillId="0" borderId="12" xfId="129" applyFont="1" applyBorder="1" applyAlignment="1">
      <alignment vertical="center"/>
    </xf>
    <xf numFmtId="2" fontId="36" fillId="0" borderId="18" xfId="129" applyNumberFormat="1" applyFont="1" applyBorder="1" applyAlignment="1">
      <alignment horizontal="center" vertical="center" wrapText="1"/>
    </xf>
    <xf numFmtId="238" fontId="36" fillId="0" borderId="33" xfId="129" applyNumberFormat="1" applyFont="1" applyBorder="1" applyAlignment="1">
      <alignment horizontal="center" vertical="center"/>
    </xf>
    <xf numFmtId="179" fontId="36" fillId="0" borderId="33" xfId="129" applyNumberFormat="1" applyFont="1" applyBorder="1" applyAlignment="1">
      <alignment horizontal="left" vertical="center" wrapText="1"/>
    </xf>
    <xf numFmtId="238" fontId="36" fillId="0" borderId="39" xfId="129" applyNumberFormat="1" applyFont="1" applyBorder="1" applyAlignment="1">
      <alignment horizontal="center" vertical="center"/>
    </xf>
    <xf numFmtId="179" fontId="36" fillId="0" borderId="17" xfId="129" applyNumberFormat="1" applyFont="1" applyBorder="1" applyAlignment="1">
      <alignment horizontal="left" vertical="center" wrapText="1"/>
    </xf>
    <xf numFmtId="179" fontId="36" fillId="0" borderId="21" xfId="129" applyNumberFormat="1" applyFont="1" applyBorder="1" applyAlignment="1">
      <alignment horizontal="left" vertical="center" wrapText="1"/>
    </xf>
    <xf numFmtId="0" fontId="36" fillId="0" borderId="62" xfId="129" applyFont="1" applyBorder="1" applyAlignment="1">
      <alignment horizontal="center" vertical="center"/>
    </xf>
    <xf numFmtId="0" fontId="36" fillId="0" borderId="58" xfId="129" applyFont="1" applyBorder="1" applyAlignment="1">
      <alignment horizontal="center" vertical="center"/>
    </xf>
    <xf numFmtId="0" fontId="36" fillId="0" borderId="52" xfId="129" applyFont="1" applyBorder="1" applyAlignment="1">
      <alignment horizontal="center" vertical="center"/>
    </xf>
    <xf numFmtId="0" fontId="36" fillId="0" borderId="27" xfId="129" applyFont="1" applyBorder="1" applyAlignment="1">
      <alignment horizontal="center" vertical="center"/>
    </xf>
    <xf numFmtId="0" fontId="36" fillId="0" borderId="55" xfId="129" applyFont="1" applyBorder="1" applyAlignment="1">
      <alignment horizontal="center" vertical="center"/>
    </xf>
    <xf numFmtId="238" fontId="36" fillId="0" borderId="40" xfId="129" applyNumberFormat="1" applyFont="1" applyBorder="1" applyAlignment="1">
      <alignment horizontal="center" vertical="center"/>
    </xf>
    <xf numFmtId="238" fontId="36" fillId="0" borderId="44" xfId="129" applyNumberFormat="1" applyFont="1" applyBorder="1" applyAlignment="1">
      <alignment horizontal="center" vertical="center"/>
    </xf>
    <xf numFmtId="201" fontId="51" fillId="0" borderId="36" xfId="129" applyNumberFormat="1" applyFont="1" applyBorder="1" applyAlignment="1">
      <alignment horizontal="center" vertical="center" wrapText="1"/>
    </xf>
    <xf numFmtId="201" fontId="51" fillId="0" borderId="59" xfId="129" applyNumberFormat="1" applyFont="1" applyBorder="1" applyAlignment="1">
      <alignment horizontal="center" vertical="center" wrapText="1"/>
    </xf>
    <xf numFmtId="201" fontId="51" fillId="0" borderId="37" xfId="129" applyNumberFormat="1" applyFont="1" applyBorder="1" applyAlignment="1">
      <alignment horizontal="center" vertical="center" wrapText="1"/>
    </xf>
    <xf numFmtId="0" fontId="59" fillId="0" borderId="0" xfId="0" applyFont="1" applyAlignment="1">
      <alignment horizontal="left" vertical="center"/>
    </xf>
    <xf numFmtId="0" fontId="43" fillId="0" borderId="0" xfId="130" applyFont="1" applyAlignment="1">
      <alignment horizontal="left" vertical="center"/>
    </xf>
    <xf numFmtId="0" fontId="55" fillId="0" borderId="0" xfId="0" applyFont="1" applyAlignment="1">
      <alignment vertical="center"/>
    </xf>
    <xf numFmtId="0" fontId="40" fillId="0" borderId="0" xfId="129" applyFont="1" applyAlignment="1">
      <alignment vertical="center"/>
    </xf>
    <xf numFmtId="207" fontId="40" fillId="0" borderId="0" xfId="129" applyNumberFormat="1" applyFont="1" applyAlignment="1">
      <alignment horizontal="center" vertical="center"/>
    </xf>
    <xf numFmtId="199" fontId="40" fillId="0" borderId="0" xfId="129" applyNumberFormat="1" applyFont="1" applyAlignment="1">
      <alignment horizontal="center" vertical="center"/>
    </xf>
    <xf numFmtId="179" fontId="36" fillId="0" borderId="0" xfId="129" applyNumberFormat="1" applyFont="1" applyAlignment="1">
      <alignment horizontal="left" vertical="center" wrapText="1"/>
    </xf>
    <xf numFmtId="201" fontId="51" fillId="0" borderId="0" xfId="129" applyNumberFormat="1" applyFont="1" applyAlignment="1">
      <alignment horizontal="center" vertical="center" wrapText="1"/>
    </xf>
    <xf numFmtId="193" fontId="40" fillId="0" borderId="33" xfId="129" applyNumberFormat="1" applyFont="1" applyBorder="1" applyAlignment="1">
      <alignment vertical="center" wrapText="1"/>
    </xf>
    <xf numFmtId="172" fontId="40" fillId="0" borderId="11" xfId="129" applyNumberFormat="1" applyFont="1" applyBorder="1" applyAlignment="1">
      <alignment horizontal="center" vertical="center" wrapText="1"/>
    </xf>
    <xf numFmtId="193" fontId="40" fillId="0" borderId="64" xfId="129" applyNumberFormat="1" applyFont="1" applyBorder="1" applyAlignment="1">
      <alignment vertical="center" wrapText="1"/>
    </xf>
    <xf numFmtId="207" fontId="40" fillId="0" borderId="34" xfId="129" applyNumberFormat="1" applyFont="1" applyBorder="1" applyAlignment="1">
      <alignment horizontal="center" vertical="center"/>
    </xf>
    <xf numFmtId="199" fontId="40" fillId="0" borderId="34" xfId="129" applyNumberFormat="1" applyFont="1" applyBorder="1" applyAlignment="1">
      <alignment horizontal="center" vertical="center"/>
    </xf>
    <xf numFmtId="172" fontId="40" fillId="0" borderId="34" xfId="129" applyNumberFormat="1" applyFont="1" applyBorder="1" applyAlignment="1">
      <alignment horizontal="center" vertical="center" wrapText="1"/>
    </xf>
    <xf numFmtId="200" fontId="40" fillId="0" borderId="34" xfId="129" applyNumberFormat="1" applyFont="1" applyBorder="1" applyAlignment="1">
      <alignment horizontal="center" vertical="center"/>
    </xf>
    <xf numFmtId="180" fontId="36" fillId="0" borderId="34" xfId="129" applyNumberFormat="1" applyFont="1" applyBorder="1" applyAlignment="1">
      <alignment horizontal="left" vertical="center" wrapText="1"/>
    </xf>
    <xf numFmtId="201" fontId="51" fillId="30" borderId="34" xfId="129" applyNumberFormat="1" applyFont="1" applyFill="1" applyBorder="1" applyAlignment="1">
      <alignment horizontal="center" vertical="center" wrapText="1"/>
    </xf>
    <xf numFmtId="2" fontId="36" fillId="0" borderId="65" xfId="129" applyNumberFormat="1" applyFont="1" applyBorder="1" applyAlignment="1">
      <alignment horizontal="center" vertical="center" wrapText="1"/>
    </xf>
    <xf numFmtId="238" fontId="36" fillId="0" borderId="65" xfId="129" applyNumberFormat="1" applyFont="1" applyBorder="1" applyAlignment="1">
      <alignment horizontal="center" vertical="center" wrapText="1"/>
    </xf>
    <xf numFmtId="0" fontId="63" fillId="0" borderId="0" xfId="130" applyFont="1" applyAlignment="1">
      <alignment horizontal="center" vertical="center"/>
    </xf>
    <xf numFmtId="4" fontId="62" fillId="0" borderId="0" xfId="130" applyNumberFormat="1" applyFont="1" applyAlignment="1">
      <alignment horizontal="center" vertical="center"/>
    </xf>
    <xf numFmtId="4" fontId="43" fillId="0" borderId="0" xfId="130" applyNumberFormat="1" applyFont="1" applyAlignment="1">
      <alignment horizontal="center" vertical="center"/>
    </xf>
    <xf numFmtId="4" fontId="63" fillId="0" borderId="0" xfId="130" applyNumberFormat="1" applyFont="1" applyAlignment="1">
      <alignment horizontal="center" vertical="center"/>
    </xf>
    <xf numFmtId="0" fontId="43" fillId="0" borderId="0" xfId="130" applyFont="1" applyAlignment="1">
      <alignment horizontal="left" vertical="center" wrapText="1"/>
    </xf>
    <xf numFmtId="0" fontId="63" fillId="0" borderId="0" xfId="130" applyFont="1" applyAlignment="1">
      <alignment horizontal="left" vertical="center"/>
    </xf>
    <xf numFmtId="195" fontId="63" fillId="0" borderId="0" xfId="130" applyNumberFormat="1" applyFont="1" applyAlignment="1">
      <alignment horizontal="center" vertical="center"/>
    </xf>
    <xf numFmtId="2" fontId="44" fillId="0" borderId="0" xfId="130" applyNumberFormat="1" applyFont="1" applyAlignment="1">
      <alignment horizontal="center" vertical="center"/>
    </xf>
    <xf numFmtId="0" fontId="55" fillId="0" borderId="0" xfId="0" applyFont="1" applyAlignment="1">
      <alignment horizontal="left" vertical="center"/>
    </xf>
    <xf numFmtId="0" fontId="40" fillId="0" borderId="60" xfId="129" applyFont="1" applyBorder="1" applyAlignment="1">
      <alignment vertical="center"/>
    </xf>
    <xf numFmtId="246" fontId="30" fillId="0" borderId="0" xfId="130" applyNumberFormat="1" applyFont="1" applyAlignment="1">
      <alignment horizontal="center" vertical="center"/>
    </xf>
    <xf numFmtId="1" fontId="44" fillId="0" borderId="0" xfId="130" applyNumberFormat="1" applyFont="1" applyAlignment="1">
      <alignment horizontal="center" vertical="center"/>
    </xf>
    <xf numFmtId="239" fontId="43" fillId="0" borderId="0" xfId="130" applyNumberFormat="1" applyFont="1" applyAlignment="1">
      <alignment horizontal="center" vertical="center"/>
    </xf>
    <xf numFmtId="0" fontId="36" fillId="0" borderId="0" xfId="133" applyFont="1" applyAlignment="1">
      <alignment horizontal="left" vertical="center"/>
    </xf>
    <xf numFmtId="0" fontId="56" fillId="27" borderId="15" xfId="138" applyFont="1" applyFill="1" applyBorder="1" applyAlignment="1">
      <alignment horizontal="center"/>
    </xf>
    <xf numFmtId="0" fontId="56" fillId="27" borderId="16" xfId="138" applyFont="1" applyFill="1" applyBorder="1" applyAlignment="1">
      <alignment horizontal="center"/>
    </xf>
    <xf numFmtId="193" fontId="32" fillId="32" borderId="11" xfId="138" applyNumberFormat="1" applyFont="1" applyFill="1" applyBorder="1" applyAlignment="1">
      <alignment horizontal="center"/>
    </xf>
    <xf numFmtId="1" fontId="32" fillId="32" borderId="11" xfId="138" applyNumberFormat="1" applyFont="1" applyFill="1" applyBorder="1" applyAlignment="1">
      <alignment horizontal="center"/>
    </xf>
    <xf numFmtId="1" fontId="32" fillId="32" borderId="24" xfId="138" applyNumberFormat="1" applyFont="1" applyFill="1" applyBorder="1" applyAlignment="1">
      <alignment horizontal="center"/>
    </xf>
    <xf numFmtId="193" fontId="32" fillId="32" borderId="17" xfId="138" applyNumberFormat="1" applyFont="1" applyFill="1" applyBorder="1" applyAlignment="1">
      <alignment horizontal="center"/>
    </xf>
    <xf numFmtId="1" fontId="32" fillId="32" borderId="17" xfId="138" applyNumberFormat="1" applyFont="1" applyFill="1" applyBorder="1" applyAlignment="1">
      <alignment horizontal="center"/>
    </xf>
    <xf numFmtId="1" fontId="32" fillId="32" borderId="18" xfId="138" applyNumberFormat="1" applyFont="1" applyFill="1" applyBorder="1" applyAlignment="1">
      <alignment horizontal="center"/>
    </xf>
    <xf numFmtId="193" fontId="32" fillId="32" borderId="33" xfId="138" applyNumberFormat="1" applyFont="1" applyFill="1" applyBorder="1" applyAlignment="1">
      <alignment horizontal="center"/>
    </xf>
    <xf numFmtId="1" fontId="32" fillId="32" borderId="33" xfId="138" applyNumberFormat="1" applyFont="1" applyFill="1" applyBorder="1" applyAlignment="1">
      <alignment horizontal="center"/>
    </xf>
    <xf numFmtId="195" fontId="43" fillId="0" borderId="0" xfId="130" applyNumberFormat="1" applyFont="1" applyAlignment="1">
      <alignment horizontal="center" vertical="center"/>
    </xf>
    <xf numFmtId="254" fontId="43" fillId="0" borderId="0" xfId="130" applyNumberFormat="1" applyFont="1" applyAlignment="1">
      <alignment horizontal="center" vertical="center"/>
    </xf>
    <xf numFmtId="255" fontId="44" fillId="0" borderId="0" xfId="130" applyNumberFormat="1" applyFont="1" applyAlignment="1">
      <alignment horizontal="center" vertical="center"/>
    </xf>
    <xf numFmtId="0" fontId="55" fillId="0" borderId="0" xfId="129" applyFont="1"/>
    <xf numFmtId="2" fontId="55" fillId="0" borderId="0" xfId="129" applyNumberFormat="1" applyFont="1"/>
    <xf numFmtId="181" fontId="58" fillId="0" borderId="0" xfId="129" applyNumberFormat="1" applyFont="1" applyAlignment="1" applyProtection="1">
      <alignment horizontal="center" vertical="center" wrapText="1"/>
      <protection locked="0"/>
    </xf>
    <xf numFmtId="0" fontId="55" fillId="0" borderId="0" xfId="129" applyFont="1" applyAlignment="1">
      <alignment horizontal="center" vertical="center"/>
    </xf>
    <xf numFmtId="0" fontId="58" fillId="27" borderId="33" xfId="129" applyFont="1" applyFill="1" applyBorder="1" applyAlignment="1" applyProtection="1">
      <alignment horizontal="left" vertical="center" wrapText="1"/>
      <protection locked="0"/>
    </xf>
    <xf numFmtId="171" fontId="55" fillId="27" borderId="33" xfId="129" applyNumberFormat="1" applyFont="1" applyFill="1" applyBorder="1" applyAlignment="1" applyProtection="1">
      <alignment horizontal="center" vertical="center" wrapText="1"/>
      <protection locked="0"/>
    </xf>
    <xf numFmtId="167" fontId="55" fillId="27" borderId="33" xfId="129" applyNumberFormat="1" applyFont="1" applyFill="1" applyBorder="1" applyAlignment="1" applyProtection="1">
      <alignment horizontal="center" vertical="center" wrapText="1"/>
      <protection locked="0"/>
    </xf>
    <xf numFmtId="3" fontId="55" fillId="27" borderId="33" xfId="129" applyNumberFormat="1" applyFont="1" applyFill="1" applyBorder="1" applyAlignment="1" applyProtection="1">
      <alignment horizontal="center" vertical="center" wrapText="1"/>
      <protection locked="0"/>
    </xf>
    <xf numFmtId="0" fontId="60" fillId="0" borderId="33" xfId="129" applyFont="1" applyBorder="1" applyAlignment="1" applyProtection="1">
      <alignment horizontal="left" vertical="center" wrapText="1"/>
      <protection locked="0"/>
    </xf>
    <xf numFmtId="171" fontId="55" fillId="0" borderId="33" xfId="129" applyNumberFormat="1" applyFont="1" applyBorder="1" applyAlignment="1" applyProtection="1">
      <alignment horizontal="center" vertical="center" wrapText="1"/>
      <protection locked="0"/>
    </xf>
    <xf numFmtId="167" fontId="55" fillId="0" borderId="33" xfId="129" applyNumberFormat="1" applyFont="1" applyBorder="1" applyAlignment="1" applyProtection="1">
      <alignment horizontal="center" vertical="center" wrapText="1"/>
      <protection locked="0"/>
    </xf>
    <xf numFmtId="0" fontId="59" fillId="0" borderId="33" xfId="129" applyFont="1" applyBorder="1" applyAlignment="1">
      <alignment horizontal="center" vertical="center" wrapText="1"/>
    </xf>
    <xf numFmtId="0" fontId="59" fillId="0" borderId="0" xfId="129" applyFont="1" applyAlignment="1">
      <alignment horizontal="left" vertical="center"/>
    </xf>
    <xf numFmtId="0" fontId="34" fillId="0" borderId="0" xfId="129" applyFont="1" applyAlignment="1">
      <alignment vertical="center"/>
    </xf>
    <xf numFmtId="0" fontId="55" fillId="0" borderId="0" xfId="129" applyFont="1" applyAlignment="1">
      <alignment horizontal="left" vertical="center"/>
    </xf>
    <xf numFmtId="0" fontId="41" fillId="0" borderId="0" xfId="133" applyFont="1" applyAlignment="1">
      <alignment horizontal="left"/>
    </xf>
    <xf numFmtId="0" fontId="40" fillId="0" borderId="0" xfId="133" applyFont="1" applyAlignment="1">
      <alignment horizontal="center"/>
    </xf>
    <xf numFmtId="0" fontId="40" fillId="0" borderId="0" xfId="133" applyFont="1" applyAlignment="1">
      <alignment horizontal="center" vertical="center"/>
    </xf>
    <xf numFmtId="0" fontId="40" fillId="0" borderId="0" xfId="133" applyFont="1" applyAlignment="1">
      <alignment horizontal="left" vertical="center"/>
    </xf>
    <xf numFmtId="0" fontId="36" fillId="0" borderId="0" xfId="133" applyFont="1"/>
    <xf numFmtId="0" fontId="36" fillId="0" borderId="0" xfId="133" applyFont="1" applyAlignment="1">
      <alignment horizontal="center" vertical="center"/>
    </xf>
    <xf numFmtId="0" fontId="40" fillId="27" borderId="0" xfId="131" applyFont="1" applyFill="1" applyAlignment="1">
      <alignment horizontal="left" vertical="center"/>
    </xf>
    <xf numFmtId="196" fontId="40" fillId="27" borderId="0" xfId="133" applyNumberFormat="1" applyFont="1" applyFill="1" applyAlignment="1">
      <alignment horizontal="left" vertical="center"/>
    </xf>
    <xf numFmtId="0" fontId="51" fillId="27" borderId="0" xfId="131" applyFont="1" applyFill="1" applyAlignment="1">
      <alignment horizontal="center" vertical="center"/>
    </xf>
    <xf numFmtId="0" fontId="40" fillId="0" borderId="0" xfId="133" applyFont="1" applyAlignment="1">
      <alignment horizontal="left"/>
    </xf>
    <xf numFmtId="0" fontId="51" fillId="27" borderId="0" xfId="131" applyFont="1" applyFill="1" applyAlignment="1">
      <alignment horizontal="left" vertical="center"/>
    </xf>
    <xf numFmtId="0" fontId="36" fillId="27" borderId="0" xfId="131" applyFont="1" applyFill="1" applyAlignment="1">
      <alignment horizontal="center" vertical="center"/>
    </xf>
    <xf numFmtId="0" fontId="36" fillId="27" borderId="0" xfId="133" applyFont="1" applyFill="1" applyAlignment="1">
      <alignment horizontal="left" vertical="center"/>
    </xf>
    <xf numFmtId="2" fontId="40" fillId="31" borderId="33" xfId="133" applyNumberFormat="1" applyFont="1" applyFill="1" applyBorder="1" applyAlignment="1">
      <alignment horizontal="center" vertical="center" wrapText="1"/>
    </xf>
    <xf numFmtId="2" fontId="40" fillId="0" borderId="0" xfId="133" applyNumberFormat="1" applyFont="1" applyAlignment="1">
      <alignment horizontal="center" vertical="center" wrapText="1"/>
    </xf>
    <xf numFmtId="0" fontId="51" fillId="27" borderId="0" xfId="133" applyFont="1" applyFill="1" applyAlignment="1">
      <alignment horizontal="left" vertical="center"/>
    </xf>
    <xf numFmtId="198" fontId="51" fillId="27" borderId="0" xfId="133" applyNumberFormat="1" applyFont="1" applyFill="1" applyAlignment="1">
      <alignment horizontal="left" vertical="center"/>
    </xf>
    <xf numFmtId="179" fontId="40" fillId="0" borderId="56" xfId="133" applyNumberFormat="1" applyFont="1" applyBorder="1" applyAlignment="1">
      <alignment horizontal="center" vertical="center" wrapText="1"/>
    </xf>
    <xf numFmtId="180" fontId="40" fillId="0" borderId="56" xfId="133" applyNumberFormat="1" applyFont="1" applyBorder="1" applyAlignment="1">
      <alignment horizontal="center" vertical="center"/>
    </xf>
    <xf numFmtId="180" fontId="40" fillId="0" borderId="0" xfId="133" applyNumberFormat="1" applyFont="1" applyAlignment="1">
      <alignment horizontal="center" vertical="center"/>
    </xf>
    <xf numFmtId="202" fontId="36" fillId="27" borderId="0" xfId="133" applyNumberFormat="1" applyFont="1" applyFill="1" applyAlignment="1">
      <alignment horizontal="left" vertical="center" wrapText="1"/>
    </xf>
    <xf numFmtId="203" fontId="36" fillId="27" borderId="0" xfId="133" applyNumberFormat="1" applyFont="1" applyFill="1" applyAlignment="1">
      <alignment horizontal="left" vertical="center"/>
    </xf>
    <xf numFmtId="193" fontId="41" fillId="31" borderId="33" xfId="133" applyNumberFormat="1" applyFont="1" applyFill="1" applyBorder="1" applyAlignment="1">
      <alignment horizontal="left" vertical="center"/>
    </xf>
    <xf numFmtId="193" fontId="40" fillId="31" borderId="33" xfId="133" applyNumberFormat="1" applyFont="1" applyFill="1" applyBorder="1" applyAlignment="1">
      <alignment horizontal="center" vertical="center"/>
    </xf>
    <xf numFmtId="256" fontId="40" fillId="28" borderId="33" xfId="133" applyNumberFormat="1" applyFont="1" applyFill="1" applyBorder="1" applyAlignment="1">
      <alignment horizontal="center" vertical="center" wrapText="1"/>
    </xf>
    <xf numFmtId="193" fontId="40" fillId="28" borderId="33" xfId="133" applyNumberFormat="1" applyFont="1" applyFill="1" applyBorder="1" applyAlignment="1">
      <alignment horizontal="center" vertical="center" wrapText="1"/>
    </xf>
    <xf numFmtId="193" fontId="40" fillId="28" borderId="33" xfId="133" applyNumberFormat="1" applyFont="1" applyFill="1" applyBorder="1" applyAlignment="1">
      <alignment horizontal="left" vertical="center" wrapText="1"/>
    </xf>
    <xf numFmtId="0" fontId="36" fillId="27" borderId="0" xfId="131" applyFont="1" applyFill="1" applyAlignment="1">
      <alignment horizontal="left" vertical="center"/>
    </xf>
    <xf numFmtId="204" fontId="40" fillId="27" borderId="0" xfId="133" applyNumberFormat="1" applyFont="1" applyFill="1" applyAlignment="1">
      <alignment horizontal="left" vertical="center"/>
    </xf>
    <xf numFmtId="0" fontId="40" fillId="0" borderId="33" xfId="133" applyFont="1" applyBorder="1" applyAlignment="1">
      <alignment horizontal="left"/>
    </xf>
    <xf numFmtId="175" fontId="40" fillId="0" borderId="33" xfId="133" applyNumberFormat="1" applyFont="1" applyBorder="1" applyAlignment="1">
      <alignment horizontal="center" vertical="center" wrapText="1"/>
    </xf>
    <xf numFmtId="244" fontId="40" fillId="0" borderId="33" xfId="133" applyNumberFormat="1" applyFont="1" applyBorder="1" applyAlignment="1">
      <alignment horizontal="right" vertical="center" wrapText="1"/>
    </xf>
    <xf numFmtId="258" fontId="40" fillId="0" borderId="11" xfId="133" applyNumberFormat="1" applyFont="1" applyBorder="1" applyAlignment="1">
      <alignment horizontal="center" vertical="center" wrapText="1"/>
    </xf>
    <xf numFmtId="258" fontId="40" fillId="0" borderId="11" xfId="133" applyNumberFormat="1" applyFont="1" applyBorder="1" applyAlignment="1">
      <alignment horizontal="left" vertical="center" wrapText="1"/>
    </xf>
    <xf numFmtId="0" fontId="40" fillId="0" borderId="0" xfId="133" applyFont="1"/>
    <xf numFmtId="205" fontId="51" fillId="27" borderId="0" xfId="133" applyNumberFormat="1" applyFont="1" applyFill="1" applyAlignment="1">
      <alignment horizontal="left" vertical="center"/>
    </xf>
    <xf numFmtId="206" fontId="51" fillId="27" borderId="0" xfId="133" applyNumberFormat="1" applyFont="1" applyFill="1" applyAlignment="1">
      <alignment horizontal="left" vertical="center"/>
    </xf>
    <xf numFmtId="178" fontId="40" fillId="26" borderId="33" xfId="133" applyNumberFormat="1" applyFont="1" applyFill="1" applyBorder="1" applyAlignment="1">
      <alignment horizontal="left" vertical="center" wrapText="1"/>
    </xf>
    <xf numFmtId="259" fontId="40" fillId="26" borderId="33" xfId="133" applyNumberFormat="1" applyFont="1" applyFill="1" applyBorder="1" applyAlignment="1">
      <alignment horizontal="left" vertical="center" wrapText="1"/>
    </xf>
    <xf numFmtId="167" fontId="40" fillId="26" borderId="33" xfId="133" applyNumberFormat="1" applyFont="1" applyFill="1" applyBorder="1" applyAlignment="1">
      <alignment horizontal="center" vertical="center" wrapText="1"/>
    </xf>
    <xf numFmtId="260" fontId="40" fillId="26" borderId="33" xfId="133" applyNumberFormat="1" applyFont="1" applyFill="1" applyBorder="1" applyAlignment="1">
      <alignment horizontal="left" vertical="center" wrapText="1"/>
    </xf>
    <xf numFmtId="244" fontId="40" fillId="26" borderId="33" xfId="133" applyNumberFormat="1" applyFont="1" applyFill="1" applyBorder="1" applyAlignment="1">
      <alignment horizontal="right" vertical="center" wrapText="1"/>
    </xf>
    <xf numFmtId="258" fontId="40" fillId="0" borderId="33" xfId="133" applyNumberFormat="1" applyFont="1" applyBorder="1" applyAlignment="1">
      <alignment horizontal="center" vertical="center" wrapText="1"/>
    </xf>
    <xf numFmtId="258" fontId="40" fillId="0" borderId="33" xfId="133" applyNumberFormat="1" applyFont="1" applyBorder="1" applyAlignment="1">
      <alignment horizontal="left" vertical="center" wrapText="1"/>
    </xf>
    <xf numFmtId="204" fontId="51" fillId="27" borderId="0" xfId="133" applyNumberFormat="1" applyFont="1" applyFill="1" applyAlignment="1">
      <alignment horizontal="left" vertical="center"/>
    </xf>
    <xf numFmtId="262" fontId="40" fillId="0" borderId="33" xfId="133" applyNumberFormat="1" applyFont="1" applyBorder="1" applyAlignment="1">
      <alignment horizontal="left" vertical="center" wrapText="1"/>
    </xf>
    <xf numFmtId="2" fontId="36" fillId="31" borderId="33" xfId="133" applyNumberFormat="1" applyFont="1" applyFill="1" applyBorder="1" applyAlignment="1">
      <alignment horizontal="center" vertical="center" wrapText="1"/>
    </xf>
    <xf numFmtId="207" fontId="36" fillId="0" borderId="33" xfId="131" applyNumberFormat="1" applyFont="1" applyBorder="1" applyAlignment="1">
      <alignment horizontal="center" vertical="center"/>
    </xf>
    <xf numFmtId="264" fontId="40" fillId="0" borderId="33" xfId="133" applyNumberFormat="1" applyFont="1" applyBorder="1" applyAlignment="1">
      <alignment horizontal="left" vertical="center" wrapText="1"/>
    </xf>
    <xf numFmtId="172" fontId="40" fillId="0" borderId="33" xfId="133" applyNumberFormat="1" applyFont="1" applyBorder="1" applyAlignment="1">
      <alignment horizontal="center" vertical="center" wrapText="1"/>
    </xf>
    <xf numFmtId="180" fontId="36" fillId="0" borderId="33" xfId="133" applyNumberFormat="1" applyFont="1" applyBorder="1" applyAlignment="1">
      <alignment horizontal="center" vertical="center"/>
    </xf>
    <xf numFmtId="179" fontId="36" fillId="0" borderId="33" xfId="133" applyNumberFormat="1" applyFont="1" applyBorder="1" applyAlignment="1">
      <alignment horizontal="center" vertical="center" wrapText="1"/>
    </xf>
    <xf numFmtId="208" fontId="36" fillId="0" borderId="33" xfId="131" applyNumberFormat="1" applyFont="1" applyBorder="1" applyAlignment="1">
      <alignment horizontal="center" vertical="center"/>
    </xf>
    <xf numFmtId="193" fontId="40" fillId="0" borderId="0" xfId="133" applyNumberFormat="1" applyFont="1" applyAlignment="1">
      <alignment horizontal="center" vertical="center" wrapText="1"/>
    </xf>
    <xf numFmtId="265" fontId="40" fillId="0" borderId="0" xfId="133" applyNumberFormat="1" applyFont="1" applyAlignment="1">
      <alignment horizontal="center" vertical="center" wrapText="1"/>
    </xf>
    <xf numFmtId="252" fontId="41" fillId="30" borderId="0" xfId="133" applyNumberFormat="1" applyFont="1" applyFill="1" applyAlignment="1">
      <alignment horizontal="center" vertical="center" wrapText="1"/>
    </xf>
    <xf numFmtId="266" fontId="40" fillId="0" borderId="0" xfId="133" applyNumberFormat="1" applyFont="1" applyAlignment="1">
      <alignment horizontal="left" vertical="center"/>
    </xf>
    <xf numFmtId="0" fontId="40" fillId="0" borderId="0" xfId="133" applyFont="1" applyAlignment="1">
      <alignment horizontal="center" vertical="center" wrapText="1"/>
    </xf>
    <xf numFmtId="201" fontId="40" fillId="0" borderId="0" xfId="133" applyNumberFormat="1" applyFont="1" applyAlignment="1">
      <alignment horizontal="center" vertical="center" wrapText="1"/>
    </xf>
    <xf numFmtId="258" fontId="40" fillId="0" borderId="0" xfId="133" applyNumberFormat="1" applyFont="1" applyAlignment="1">
      <alignment horizontal="right"/>
    </xf>
    <xf numFmtId="206" fontId="36" fillId="0" borderId="0" xfId="133" applyNumberFormat="1" applyFont="1" applyAlignment="1">
      <alignment horizontal="left" vertical="center"/>
    </xf>
    <xf numFmtId="0" fontId="36" fillId="0" borderId="0" xfId="133" applyFont="1" applyAlignment="1">
      <alignment horizontal="center"/>
    </xf>
    <xf numFmtId="169" fontId="36" fillId="0" borderId="0" xfId="133" applyNumberFormat="1" applyFont="1"/>
    <xf numFmtId="193" fontId="41" fillId="31" borderId="56" xfId="133" applyNumberFormat="1" applyFont="1" applyFill="1" applyBorder="1" applyAlignment="1">
      <alignment horizontal="left" vertical="center"/>
    </xf>
    <xf numFmtId="193" fontId="40" fillId="31" borderId="56" xfId="133" applyNumberFormat="1" applyFont="1" applyFill="1" applyBorder="1" applyAlignment="1">
      <alignment horizontal="center" vertical="center"/>
    </xf>
    <xf numFmtId="256" fontId="40" fillId="28" borderId="56" xfId="133" applyNumberFormat="1" applyFont="1" applyFill="1" applyBorder="1" applyAlignment="1">
      <alignment horizontal="center" vertical="center" wrapText="1"/>
    </xf>
    <xf numFmtId="193" fontId="40" fillId="28" borderId="56" xfId="133" applyNumberFormat="1" applyFont="1" applyFill="1" applyBorder="1" applyAlignment="1">
      <alignment horizontal="center" vertical="center" wrapText="1"/>
    </xf>
    <xf numFmtId="167" fontId="35" fillId="0" borderId="0" xfId="133" applyNumberFormat="1" applyFont="1" applyAlignment="1">
      <alignment horizontal="center" vertical="center"/>
    </xf>
    <xf numFmtId="258" fontId="40" fillId="0" borderId="17" xfId="133" applyNumberFormat="1" applyFont="1" applyBorder="1" applyAlignment="1">
      <alignment horizontal="center" vertical="center" wrapText="1"/>
    </xf>
    <xf numFmtId="258" fontId="40" fillId="0" borderId="18" xfId="133" applyNumberFormat="1" applyFont="1" applyBorder="1" applyAlignment="1">
      <alignment horizontal="center" vertical="center" wrapText="1"/>
    </xf>
    <xf numFmtId="0" fontId="40" fillId="0" borderId="0" xfId="133" applyFont="1" applyAlignment="1">
      <alignment vertical="center"/>
    </xf>
    <xf numFmtId="258" fontId="40" fillId="0" borderId="56" xfId="133" applyNumberFormat="1" applyFont="1" applyBorder="1" applyAlignment="1">
      <alignment horizontal="center" vertical="center" wrapText="1"/>
    </xf>
    <xf numFmtId="258" fontId="40" fillId="0" borderId="66" xfId="133" applyNumberFormat="1" applyFont="1" applyBorder="1" applyAlignment="1">
      <alignment horizontal="center" vertical="center" wrapText="1"/>
    </xf>
    <xf numFmtId="244" fontId="40" fillId="27" borderId="33" xfId="133" applyNumberFormat="1" applyFont="1" applyFill="1" applyBorder="1" applyAlignment="1">
      <alignment horizontal="right" vertical="center" wrapText="1"/>
    </xf>
    <xf numFmtId="258" fontId="40" fillId="27" borderId="33" xfId="133" applyNumberFormat="1" applyFont="1" applyFill="1" applyBorder="1" applyAlignment="1">
      <alignment horizontal="center" vertical="center" wrapText="1"/>
    </xf>
    <xf numFmtId="244" fontId="40" fillId="0" borderId="0" xfId="133" applyNumberFormat="1" applyFont="1" applyAlignment="1">
      <alignment horizontal="right" vertical="center" wrapText="1"/>
    </xf>
    <xf numFmtId="201" fontId="40" fillId="0" borderId="0" xfId="133" applyNumberFormat="1" applyFont="1" applyAlignment="1">
      <alignment horizontal="right" vertical="center" wrapText="1"/>
    </xf>
    <xf numFmtId="179" fontId="36" fillId="0" borderId="12" xfId="133" applyNumberFormat="1" applyFont="1" applyBorder="1" applyAlignment="1">
      <alignment horizontal="center" vertical="center" wrapText="1"/>
    </xf>
    <xf numFmtId="180" fontId="36" fillId="0" borderId="17" xfId="133" applyNumberFormat="1" applyFont="1" applyBorder="1" applyAlignment="1">
      <alignment horizontal="center" vertical="center"/>
    </xf>
    <xf numFmtId="0" fontId="36" fillId="0" borderId="29" xfId="133" applyFont="1" applyBorder="1"/>
    <xf numFmtId="269" fontId="40" fillId="26" borderId="19" xfId="133" applyNumberFormat="1" applyFont="1" applyFill="1" applyBorder="1" applyAlignment="1">
      <alignment horizontal="left" vertical="center" wrapText="1"/>
    </xf>
    <xf numFmtId="258" fontId="40" fillId="26" borderId="33" xfId="133" applyNumberFormat="1" applyFont="1" applyFill="1" applyBorder="1" applyAlignment="1">
      <alignment horizontal="center" vertical="center" wrapText="1"/>
    </xf>
    <xf numFmtId="167" fontId="36" fillId="26" borderId="20" xfId="133" applyNumberFormat="1" applyFont="1" applyFill="1" applyBorder="1" applyAlignment="1">
      <alignment horizontal="center" vertical="center" wrapText="1"/>
    </xf>
    <xf numFmtId="264" fontId="36" fillId="0" borderId="19" xfId="133" applyNumberFormat="1" applyFont="1" applyBorder="1" applyAlignment="1">
      <alignment horizontal="left" vertical="center" wrapText="1"/>
    </xf>
    <xf numFmtId="245" fontId="40" fillId="0" borderId="33" xfId="133" applyNumberFormat="1" applyFont="1" applyBorder="1" applyAlignment="1">
      <alignment horizontal="center" vertical="center" wrapText="1"/>
    </xf>
    <xf numFmtId="175" fontId="36" fillId="25" borderId="20" xfId="133" applyNumberFormat="1" applyFont="1" applyFill="1" applyBorder="1" applyAlignment="1">
      <alignment horizontal="center" vertical="center" wrapText="1"/>
    </xf>
    <xf numFmtId="193" fontId="36" fillId="0" borderId="0" xfId="133" applyNumberFormat="1" applyFont="1"/>
    <xf numFmtId="0" fontId="38" fillId="0" borderId="0" xfId="133" applyFont="1" applyAlignment="1">
      <alignment horizontal="center"/>
    </xf>
    <xf numFmtId="268" fontId="36" fillId="0" borderId="19" xfId="133" applyNumberFormat="1" applyFont="1" applyBorder="1" applyAlignment="1">
      <alignment horizontal="left" vertical="center" wrapText="1"/>
    </xf>
    <xf numFmtId="0" fontId="36" fillId="0" borderId="12" xfId="133" applyFont="1" applyBorder="1"/>
    <xf numFmtId="180" fontId="36" fillId="0" borderId="26" xfId="133" applyNumberFormat="1" applyFont="1" applyBorder="1" applyAlignment="1">
      <alignment horizontal="center" vertical="center"/>
    </xf>
    <xf numFmtId="0" fontId="36" fillId="0" borderId="18" xfId="133" applyFont="1" applyBorder="1"/>
    <xf numFmtId="270" fontId="36" fillId="0" borderId="31" xfId="133" applyNumberFormat="1" applyFont="1" applyBorder="1" applyAlignment="1">
      <alignment horizontal="center"/>
    </xf>
    <xf numFmtId="167" fontId="36" fillId="0" borderId="0" xfId="133" applyNumberFormat="1" applyFont="1" applyAlignment="1">
      <alignment horizontal="center" vertical="center"/>
    </xf>
    <xf numFmtId="169" fontId="36" fillId="0" borderId="32" xfId="133" applyNumberFormat="1" applyFont="1" applyBorder="1" applyAlignment="1">
      <alignment horizontal="center"/>
    </xf>
    <xf numFmtId="0" fontId="36" fillId="0" borderId="31" xfId="133" applyFont="1" applyBorder="1" applyAlignment="1">
      <alignment horizontal="right"/>
    </xf>
    <xf numFmtId="263" fontId="36" fillId="0" borderId="19" xfId="133" applyNumberFormat="1" applyFont="1" applyBorder="1" applyAlignment="1">
      <alignment horizontal="left" vertical="center" wrapText="1"/>
    </xf>
    <xf numFmtId="0" fontId="36" fillId="0" borderId="27" xfId="133" applyFont="1" applyBorder="1" applyAlignment="1">
      <alignment horizontal="right"/>
    </xf>
    <xf numFmtId="167" fontId="38" fillId="0" borderId="28" xfId="133" applyNumberFormat="1" applyFont="1" applyBorder="1" applyAlignment="1">
      <alignment horizontal="center" vertical="center" wrapText="1"/>
    </xf>
    <xf numFmtId="0" fontId="36" fillId="0" borderId="27" xfId="133" applyFont="1" applyBorder="1"/>
    <xf numFmtId="0" fontId="36" fillId="0" borderId="28" xfId="133" applyFont="1" applyBorder="1"/>
    <xf numFmtId="258" fontId="51" fillId="0" borderId="0" xfId="133" applyNumberFormat="1" applyFont="1" applyAlignment="1">
      <alignment horizontal="center" vertical="center" wrapText="1"/>
    </xf>
    <xf numFmtId="271" fontId="51" fillId="0" borderId="32" xfId="133" applyNumberFormat="1" applyFont="1" applyBorder="1" applyAlignment="1">
      <alignment horizontal="right" vertical="center" wrapText="1"/>
    </xf>
    <xf numFmtId="257" fontId="40" fillId="33" borderId="33" xfId="133" applyNumberFormat="1" applyFont="1" applyFill="1" applyBorder="1" applyAlignment="1">
      <alignment horizontal="left" vertical="center" wrapText="1"/>
    </xf>
    <xf numFmtId="172" fontId="40" fillId="33" borderId="33" xfId="133" applyNumberFormat="1" applyFont="1" applyFill="1" applyBorder="1" applyAlignment="1">
      <alignment horizontal="center" vertical="center" wrapText="1"/>
    </xf>
    <xf numFmtId="244" fontId="40" fillId="33" borderId="33" xfId="133" applyNumberFormat="1" applyFont="1" applyFill="1" applyBorder="1" applyAlignment="1">
      <alignment horizontal="right" vertical="center" wrapText="1"/>
    </xf>
    <xf numFmtId="0" fontId="36" fillId="0" borderId="60" xfId="133" applyFont="1" applyBorder="1"/>
    <xf numFmtId="0" fontId="36" fillId="0" borderId="20" xfId="133" applyFont="1" applyBorder="1"/>
    <xf numFmtId="0" fontId="36" fillId="0" borderId="31" xfId="133" applyFont="1" applyBorder="1" applyAlignment="1">
      <alignment horizontal="center"/>
    </xf>
    <xf numFmtId="0" fontId="36" fillId="0" borderId="33" xfId="133" applyFont="1" applyBorder="1"/>
    <xf numFmtId="258" fontId="39" fillId="0" borderId="31" xfId="133" applyNumberFormat="1" applyFont="1" applyBorder="1" applyAlignment="1">
      <alignment horizontal="right" vertical="center" wrapText="1"/>
    </xf>
    <xf numFmtId="252" fontId="39" fillId="0" borderId="0" xfId="133" applyNumberFormat="1" applyFont="1" applyAlignment="1">
      <alignment horizontal="center" vertical="center" wrapText="1"/>
    </xf>
    <xf numFmtId="271" fontId="39" fillId="0" borderId="32" xfId="133" applyNumberFormat="1" applyFont="1" applyBorder="1" applyAlignment="1">
      <alignment horizontal="right" vertical="center" wrapText="1"/>
    </xf>
    <xf numFmtId="270" fontId="51" fillId="0" borderId="31" xfId="133" applyNumberFormat="1" applyFont="1" applyBorder="1" applyAlignment="1">
      <alignment horizontal="center"/>
    </xf>
    <xf numFmtId="167" fontId="51" fillId="0" borderId="0" xfId="133" applyNumberFormat="1" applyFont="1" applyAlignment="1">
      <alignment horizontal="center" vertical="center"/>
    </xf>
    <xf numFmtId="0" fontId="36" fillId="0" borderId="32" xfId="133" applyFont="1" applyBorder="1"/>
    <xf numFmtId="257" fontId="36" fillId="0" borderId="19" xfId="133" applyNumberFormat="1" applyFont="1" applyBorder="1" applyAlignment="1">
      <alignment horizontal="left" vertical="center" wrapText="1"/>
    </xf>
    <xf numFmtId="264" fontId="36" fillId="0" borderId="33" xfId="133" applyNumberFormat="1" applyFont="1" applyBorder="1" applyAlignment="1">
      <alignment horizontal="left" vertical="center" wrapText="1"/>
    </xf>
    <xf numFmtId="175" fontId="36" fillId="0" borderId="0" xfId="133" applyNumberFormat="1" applyFont="1" applyAlignment="1">
      <alignment horizontal="center" vertical="center" wrapText="1"/>
    </xf>
    <xf numFmtId="0" fontId="36" fillId="0" borderId="31" xfId="133" applyFont="1" applyBorder="1"/>
    <xf numFmtId="260" fontId="35" fillId="0" borderId="0" xfId="133" applyNumberFormat="1" applyFont="1" applyAlignment="1">
      <alignment horizontal="right"/>
    </xf>
    <xf numFmtId="258" fontId="51" fillId="0" borderId="31" xfId="133" applyNumberFormat="1" applyFont="1" applyBorder="1" applyAlignment="1">
      <alignment horizontal="right" vertical="center" wrapText="1"/>
    </xf>
    <xf numFmtId="252" fontId="51" fillId="0" borderId="0" xfId="133" applyNumberFormat="1" applyFont="1" applyAlignment="1">
      <alignment horizontal="center" vertical="center" wrapText="1"/>
    </xf>
    <xf numFmtId="267" fontId="36" fillId="0" borderId="33" xfId="133" applyNumberFormat="1" applyFont="1" applyBorder="1" applyAlignment="1">
      <alignment horizontal="left" vertical="center" wrapText="1"/>
    </xf>
    <xf numFmtId="0" fontId="36" fillId="0" borderId="52" xfId="133" applyFont="1" applyBorder="1"/>
    <xf numFmtId="0" fontId="36" fillId="0" borderId="53" xfId="133" applyFont="1" applyBorder="1"/>
    <xf numFmtId="271" fontId="41" fillId="0" borderId="54" xfId="133" applyNumberFormat="1" applyFont="1" applyBorder="1" applyAlignment="1">
      <alignment horizontal="right" vertical="center" wrapText="1"/>
    </xf>
    <xf numFmtId="1" fontId="36" fillId="0" borderId="0" xfId="133" applyNumberFormat="1" applyFont="1"/>
    <xf numFmtId="0" fontId="36" fillId="0" borderId="52" xfId="133" applyFont="1" applyBorder="1" applyAlignment="1">
      <alignment horizontal="right" vertical="center"/>
    </xf>
    <xf numFmtId="167" fontId="36" fillId="0" borderId="53" xfId="133" applyNumberFormat="1" applyFont="1" applyBorder="1" applyAlignment="1">
      <alignment horizontal="center" vertical="center"/>
    </xf>
    <xf numFmtId="169" fontId="36" fillId="0" borderId="54" xfId="133" applyNumberFormat="1" applyFont="1" applyBorder="1" applyAlignment="1">
      <alignment horizontal="center"/>
    </xf>
    <xf numFmtId="0" fontId="38" fillId="0" borderId="0" xfId="133" applyFont="1"/>
    <xf numFmtId="270" fontId="36" fillId="0" borderId="0" xfId="133" applyNumberFormat="1" applyFont="1" applyAlignment="1">
      <alignment horizontal="center"/>
    </xf>
    <xf numFmtId="0" fontId="38" fillId="0" borderId="0" xfId="133" applyFont="1" applyAlignment="1">
      <alignment horizontal="right"/>
    </xf>
    <xf numFmtId="267" fontId="36" fillId="0" borderId="19" xfId="133" applyNumberFormat="1" applyFont="1" applyBorder="1" applyAlignment="1">
      <alignment horizontal="left" vertical="center" wrapText="1"/>
    </xf>
    <xf numFmtId="0" fontId="39" fillId="0" borderId="31" xfId="133" applyFont="1" applyBorder="1" applyAlignment="1">
      <alignment horizontal="right"/>
    </xf>
    <xf numFmtId="270" fontId="39" fillId="25" borderId="0" xfId="133" applyNumberFormat="1" applyFont="1" applyFill="1" applyAlignment="1">
      <alignment horizontal="center"/>
    </xf>
    <xf numFmtId="169" fontId="36" fillId="0" borderId="0" xfId="133" applyNumberFormat="1" applyFont="1" applyAlignment="1">
      <alignment horizontal="center"/>
    </xf>
    <xf numFmtId="252" fontId="36" fillId="0" borderId="0" xfId="133" applyNumberFormat="1" applyFont="1" applyAlignment="1">
      <alignment horizontal="center" vertical="center"/>
    </xf>
    <xf numFmtId="0" fontId="36" fillId="0" borderId="0" xfId="133" applyFont="1" applyAlignment="1">
      <alignment horizontal="right"/>
    </xf>
    <xf numFmtId="261" fontId="36" fillId="0" borderId="19" xfId="133" applyNumberFormat="1" applyFont="1" applyBorder="1" applyAlignment="1">
      <alignment horizontal="left" vertical="center" wrapText="1"/>
    </xf>
    <xf numFmtId="243" fontId="51" fillId="0" borderId="0" xfId="133" applyNumberFormat="1" applyFont="1" applyAlignment="1">
      <alignment horizontal="center" vertical="center" wrapText="1"/>
    </xf>
    <xf numFmtId="0" fontId="51" fillId="0" borderId="0" xfId="133" applyFont="1" applyAlignment="1">
      <alignment horizontal="right"/>
    </xf>
    <xf numFmtId="3" fontId="36" fillId="0" borderId="0" xfId="133" applyNumberFormat="1" applyFont="1"/>
    <xf numFmtId="270" fontId="39" fillId="25" borderId="31" xfId="133" applyNumberFormat="1" applyFont="1" applyFill="1" applyBorder="1" applyAlignment="1">
      <alignment horizontal="center"/>
    </xf>
    <xf numFmtId="0" fontId="39" fillId="0" borderId="0" xfId="133" applyFont="1" applyAlignment="1">
      <alignment horizontal="right"/>
    </xf>
    <xf numFmtId="258" fontId="39" fillId="0" borderId="0" xfId="133" applyNumberFormat="1" applyFont="1" applyAlignment="1">
      <alignment horizontal="center" vertical="center" wrapText="1"/>
    </xf>
    <xf numFmtId="3" fontId="39" fillId="0" borderId="0" xfId="133" applyNumberFormat="1" applyFont="1"/>
    <xf numFmtId="258" fontId="39" fillId="0" borderId="0" xfId="133" applyNumberFormat="1" applyFont="1" applyAlignment="1">
      <alignment horizontal="right" vertical="center" wrapText="1"/>
    </xf>
    <xf numFmtId="0" fontId="51" fillId="0" borderId="31" xfId="133" applyFont="1" applyBorder="1" applyAlignment="1">
      <alignment horizontal="right"/>
    </xf>
    <xf numFmtId="0" fontId="41" fillId="0" borderId="0" xfId="133" applyFont="1" applyAlignment="1">
      <alignment horizontal="right" vertical="center"/>
    </xf>
    <xf numFmtId="3" fontId="38" fillId="0" borderId="0" xfId="133" applyNumberFormat="1" applyFont="1"/>
    <xf numFmtId="252" fontId="41" fillId="26" borderId="0" xfId="133" applyNumberFormat="1" applyFont="1" applyFill="1" applyAlignment="1">
      <alignment horizontal="center" vertical="center"/>
    </xf>
    <xf numFmtId="1" fontId="40" fillId="0" borderId="0" xfId="133" applyNumberFormat="1" applyFont="1" applyAlignment="1">
      <alignment horizontal="center" vertical="center"/>
    </xf>
    <xf numFmtId="0" fontId="36" fillId="29" borderId="0" xfId="133" applyFont="1" applyFill="1" applyAlignment="1">
      <alignment horizontal="right"/>
    </xf>
    <xf numFmtId="167" fontId="36" fillId="29" borderId="0" xfId="133" applyNumberFormat="1" applyFont="1" applyFill="1" applyAlignment="1">
      <alignment horizontal="center" vertical="center"/>
    </xf>
    <xf numFmtId="3" fontId="38" fillId="29" borderId="0" xfId="133" applyNumberFormat="1" applyFont="1" applyFill="1"/>
    <xf numFmtId="258" fontId="35" fillId="29" borderId="0" xfId="133" applyNumberFormat="1" applyFont="1" applyFill="1" applyAlignment="1">
      <alignment horizontal="center" vertical="center" wrapText="1"/>
    </xf>
    <xf numFmtId="258" fontId="35" fillId="0" borderId="0" xfId="133" applyNumberFormat="1" applyFont="1" applyAlignment="1">
      <alignment horizontal="center" vertical="center" wrapText="1"/>
    </xf>
    <xf numFmtId="258" fontId="40" fillId="33" borderId="33" xfId="133" applyNumberFormat="1" applyFont="1" applyFill="1" applyBorder="1" applyAlignment="1">
      <alignment horizontal="center" vertical="center" wrapText="1"/>
    </xf>
    <xf numFmtId="252" fontId="36" fillId="0" borderId="0" xfId="133" applyNumberFormat="1" applyFont="1" applyAlignment="1">
      <alignment horizontal="center"/>
    </xf>
    <xf numFmtId="3" fontId="35" fillId="0" borderId="0" xfId="133" applyNumberFormat="1" applyFont="1"/>
    <xf numFmtId="0" fontId="39" fillId="0" borderId="0" xfId="133" applyFont="1" applyAlignment="1">
      <alignment horizontal="left"/>
    </xf>
    <xf numFmtId="258" fontId="36" fillId="0" borderId="0" xfId="133" applyNumberFormat="1" applyFont="1" applyAlignment="1">
      <alignment horizontal="center"/>
    </xf>
    <xf numFmtId="0" fontId="35" fillId="0" borderId="0" xfId="133" applyFont="1" applyAlignment="1">
      <alignment horizontal="right"/>
    </xf>
    <xf numFmtId="0" fontId="36" fillId="0" borderId="0" xfId="133" applyFont="1" applyAlignment="1">
      <alignment horizontal="right" vertical="center"/>
    </xf>
    <xf numFmtId="0" fontId="38" fillId="33" borderId="27" xfId="133" applyFont="1" applyFill="1" applyBorder="1" applyAlignment="1">
      <alignment horizontal="left" vertical="center"/>
    </xf>
    <xf numFmtId="167" fontId="38" fillId="33" borderId="28" xfId="133" applyNumberFormat="1" applyFont="1" applyFill="1" applyBorder="1" applyAlignment="1">
      <alignment horizontal="center" vertical="center"/>
    </xf>
    <xf numFmtId="3" fontId="36" fillId="33" borderId="28" xfId="133" applyNumberFormat="1" applyFont="1" applyFill="1" applyBorder="1"/>
    <xf numFmtId="258" fontId="35" fillId="33" borderId="29" xfId="133" applyNumberFormat="1" applyFont="1" applyFill="1" applyBorder="1" applyAlignment="1">
      <alignment horizontal="center" vertical="center" wrapText="1"/>
    </xf>
    <xf numFmtId="0" fontId="36" fillId="33" borderId="31" xfId="133" applyFont="1" applyFill="1" applyBorder="1" applyAlignment="1">
      <alignment horizontal="left"/>
    </xf>
    <xf numFmtId="167" fontId="36" fillId="33" borderId="0" xfId="133" applyNumberFormat="1" applyFont="1" applyFill="1" applyAlignment="1">
      <alignment horizontal="center" vertical="center"/>
    </xf>
    <xf numFmtId="3" fontId="36" fillId="33" borderId="0" xfId="133" applyNumberFormat="1" applyFont="1" applyFill="1"/>
    <xf numFmtId="258" fontId="35" fillId="33" borderId="32" xfId="133" applyNumberFormat="1" applyFont="1" applyFill="1" applyBorder="1" applyAlignment="1">
      <alignment horizontal="center" vertical="center" wrapText="1"/>
    </xf>
    <xf numFmtId="0" fontId="39" fillId="0" borderId="52" xfId="133" applyFont="1" applyBorder="1" applyAlignment="1">
      <alignment horizontal="left"/>
    </xf>
    <xf numFmtId="167" fontId="39" fillId="0" borderId="53" xfId="133" applyNumberFormat="1" applyFont="1" applyBorder="1" applyAlignment="1">
      <alignment horizontal="center" vertical="center"/>
    </xf>
    <xf numFmtId="0" fontId="36" fillId="0" borderId="54" xfId="133" applyFont="1" applyBorder="1" applyAlignment="1">
      <alignment horizontal="center"/>
    </xf>
    <xf numFmtId="0" fontId="39" fillId="29" borderId="31" xfId="133" applyFont="1" applyFill="1" applyBorder="1" applyAlignment="1">
      <alignment horizontal="right"/>
    </xf>
    <xf numFmtId="258" fontId="39" fillId="29" borderId="0" xfId="133" applyNumberFormat="1" applyFont="1" applyFill="1" applyAlignment="1">
      <alignment horizontal="center" vertical="center" wrapText="1"/>
    </xf>
    <xf numFmtId="2" fontId="40" fillId="0" borderId="0" xfId="133" applyNumberFormat="1" applyFont="1" applyAlignment="1">
      <alignment horizontal="left" vertical="center"/>
    </xf>
    <xf numFmtId="0" fontId="36" fillId="0" borderId="0" xfId="133" applyFont="1" applyAlignment="1">
      <alignment horizontal="left"/>
    </xf>
    <xf numFmtId="258" fontId="39" fillId="29" borderId="31" xfId="133" applyNumberFormat="1" applyFont="1" applyFill="1" applyBorder="1" applyAlignment="1">
      <alignment horizontal="right" vertical="center" wrapText="1"/>
    </xf>
    <xf numFmtId="252" fontId="39" fillId="29" borderId="0" xfId="133" applyNumberFormat="1" applyFont="1" applyFill="1" applyAlignment="1">
      <alignment horizontal="center" vertical="center" wrapText="1"/>
    </xf>
    <xf numFmtId="0" fontId="36" fillId="29" borderId="31" xfId="133" applyFont="1" applyFill="1" applyBorder="1"/>
    <xf numFmtId="260" fontId="35" fillId="29" borderId="0" xfId="133" applyNumberFormat="1" applyFont="1" applyFill="1" applyAlignment="1">
      <alignment horizontal="right"/>
    </xf>
    <xf numFmtId="0" fontId="38" fillId="33" borderId="27" xfId="133" applyFont="1" applyFill="1" applyBorder="1" applyAlignment="1">
      <alignment horizontal="left"/>
    </xf>
    <xf numFmtId="0" fontId="40" fillId="27" borderId="33" xfId="133" applyFont="1" applyFill="1" applyBorder="1" applyAlignment="1">
      <alignment horizontal="left"/>
    </xf>
    <xf numFmtId="167" fontId="40" fillId="27" borderId="33" xfId="133" applyNumberFormat="1" applyFont="1" applyFill="1" applyBorder="1" applyAlignment="1">
      <alignment horizontal="center" vertical="center" wrapText="1"/>
    </xf>
    <xf numFmtId="260" fontId="40" fillId="27" borderId="33" xfId="133" applyNumberFormat="1" applyFont="1" applyFill="1" applyBorder="1" applyAlignment="1">
      <alignment horizontal="left" vertical="center" wrapText="1"/>
    </xf>
    <xf numFmtId="252" fontId="40" fillId="27" borderId="33" xfId="133" applyNumberFormat="1" applyFont="1" applyFill="1" applyBorder="1" applyAlignment="1">
      <alignment horizontal="center" vertical="center" wrapText="1"/>
    </xf>
    <xf numFmtId="0" fontId="40" fillId="27" borderId="33" xfId="133" applyFont="1" applyFill="1" applyBorder="1" applyAlignment="1">
      <alignment horizontal="center" vertical="center"/>
    </xf>
    <xf numFmtId="252" fontId="41" fillId="27" borderId="33" xfId="133" applyNumberFormat="1" applyFont="1" applyFill="1" applyBorder="1" applyAlignment="1">
      <alignment horizontal="center" vertical="center" wrapText="1"/>
    </xf>
    <xf numFmtId="258" fontId="41" fillId="27" borderId="33" xfId="133" applyNumberFormat="1" applyFont="1" applyFill="1" applyBorder="1" applyAlignment="1">
      <alignment horizontal="center" vertical="center" wrapText="1"/>
    </xf>
    <xf numFmtId="258" fontId="41" fillId="30" borderId="11" xfId="133" applyNumberFormat="1" applyFont="1" applyFill="1" applyBorder="1" applyAlignment="1">
      <alignment horizontal="right" vertical="center" wrapText="1"/>
    </xf>
    <xf numFmtId="193" fontId="41" fillId="31" borderId="33" xfId="133" applyNumberFormat="1" applyFont="1" applyFill="1" applyBorder="1" applyAlignment="1">
      <alignment horizontal="left" vertical="center" wrapText="1"/>
    </xf>
    <xf numFmtId="0" fontId="41" fillId="0" borderId="33" xfId="133" applyFont="1" applyBorder="1" applyAlignment="1">
      <alignment horizontal="center" vertical="center" wrapText="1"/>
    </xf>
    <xf numFmtId="193" fontId="40" fillId="0" borderId="33" xfId="133" applyNumberFormat="1" applyFont="1" applyBorder="1" applyAlignment="1">
      <alignment horizontal="left" vertical="center" wrapText="1"/>
    </xf>
    <xf numFmtId="242" fontId="40" fillId="30" borderId="33" xfId="133" applyNumberFormat="1" applyFont="1" applyFill="1" applyBorder="1" applyAlignment="1">
      <alignment horizontal="center" vertical="center" wrapText="1"/>
    </xf>
    <xf numFmtId="258" fontId="40" fillId="0" borderId="33" xfId="133" applyNumberFormat="1" applyFont="1" applyBorder="1" applyAlignment="1">
      <alignment horizontal="right" vertical="center" wrapText="1"/>
    </xf>
    <xf numFmtId="272" fontId="40" fillId="0" borderId="33" xfId="133" applyNumberFormat="1" applyFont="1" applyBorder="1" applyAlignment="1">
      <alignment horizontal="left" vertical="center" wrapText="1"/>
    </xf>
    <xf numFmtId="239" fontId="40" fillId="0" borderId="0" xfId="133" applyNumberFormat="1" applyFont="1" applyAlignment="1">
      <alignment horizontal="center" vertical="center"/>
    </xf>
    <xf numFmtId="193" fontId="40" fillId="0" borderId="0" xfId="133" applyNumberFormat="1" applyFont="1" applyAlignment="1">
      <alignment horizontal="left" vertical="center" wrapText="1"/>
    </xf>
    <xf numFmtId="243" fontId="41" fillId="0" borderId="0" xfId="133" applyNumberFormat="1" applyFont="1" applyAlignment="1">
      <alignment horizontal="right" vertical="center" wrapText="1"/>
    </xf>
    <xf numFmtId="0" fontId="41" fillId="0" borderId="0" xfId="133" applyFont="1" applyAlignment="1">
      <alignment horizontal="center"/>
    </xf>
    <xf numFmtId="0" fontId="41" fillId="0" borderId="0" xfId="133" applyFont="1" applyAlignment="1">
      <alignment horizontal="center" vertical="center"/>
    </xf>
    <xf numFmtId="175" fontId="36" fillId="0" borderId="20" xfId="133" applyNumberFormat="1" applyFont="1" applyBorder="1" applyAlignment="1">
      <alignment horizontal="center" vertical="center" wrapText="1"/>
    </xf>
    <xf numFmtId="175" fontId="40" fillId="0" borderId="61" xfId="133" applyNumberFormat="1" applyFont="1" applyBorder="1" applyAlignment="1">
      <alignment horizontal="center" vertical="center" wrapText="1"/>
    </xf>
    <xf numFmtId="175" fontId="36" fillId="0" borderId="33" xfId="133" applyNumberFormat="1" applyFont="1" applyBorder="1" applyAlignment="1">
      <alignment horizontal="center" vertical="center" wrapText="1"/>
    </xf>
    <xf numFmtId="0" fontId="40" fillId="0" borderId="59" xfId="133" applyFont="1" applyBorder="1" applyAlignment="1">
      <alignment horizontal="left"/>
    </xf>
    <xf numFmtId="257" fontId="36" fillId="0" borderId="33" xfId="133" applyNumberFormat="1" applyFont="1" applyBorder="1" applyAlignment="1">
      <alignment horizontal="left" vertical="center" wrapText="1"/>
    </xf>
    <xf numFmtId="261" fontId="36" fillId="0" borderId="33" xfId="133" applyNumberFormat="1" applyFont="1" applyBorder="1" applyAlignment="1">
      <alignment horizontal="left" vertical="center" wrapText="1"/>
    </xf>
    <xf numFmtId="193" fontId="40" fillId="31" borderId="63" xfId="133" applyNumberFormat="1" applyFont="1" applyFill="1" applyBorder="1" applyAlignment="1">
      <alignment horizontal="center" vertical="center"/>
    </xf>
    <xf numFmtId="260" fontId="40" fillId="26" borderId="61" xfId="133" applyNumberFormat="1" applyFont="1" applyFill="1" applyBorder="1" applyAlignment="1">
      <alignment horizontal="left" vertical="center" wrapText="1"/>
    </xf>
    <xf numFmtId="175" fontId="40" fillId="27" borderId="61" xfId="133" applyNumberFormat="1" applyFont="1" applyFill="1" applyBorder="1" applyAlignment="1">
      <alignment horizontal="center" vertical="center" wrapText="1"/>
    </xf>
    <xf numFmtId="193" fontId="40" fillId="31" borderId="61" xfId="133" applyNumberFormat="1" applyFont="1" applyFill="1" applyBorder="1" applyAlignment="1">
      <alignment horizontal="center" vertical="center"/>
    </xf>
    <xf numFmtId="172" fontId="40" fillId="0" borderId="61" xfId="133" applyNumberFormat="1" applyFont="1" applyBorder="1" applyAlignment="1">
      <alignment horizontal="center" vertical="center" wrapText="1"/>
    </xf>
    <xf numFmtId="172" fontId="40" fillId="33" borderId="61" xfId="133" applyNumberFormat="1" applyFont="1" applyFill="1" applyBorder="1" applyAlignment="1">
      <alignment horizontal="center" vertical="center" wrapText="1"/>
    </xf>
    <xf numFmtId="0" fontId="37" fillId="0" borderId="0" xfId="133" applyFont="1"/>
    <xf numFmtId="258" fontId="41" fillId="0" borderId="11" xfId="133" applyNumberFormat="1" applyFont="1" applyBorder="1" applyAlignment="1">
      <alignment horizontal="right" vertical="center" wrapText="1"/>
    </xf>
    <xf numFmtId="251" fontId="59" fillId="0" borderId="0" xfId="133" applyNumberFormat="1" applyFont="1" applyAlignment="1">
      <alignment horizontal="center" vertical="center"/>
    </xf>
    <xf numFmtId="248" fontId="59" fillId="0" borderId="0" xfId="133" applyNumberFormat="1" applyFont="1" applyAlignment="1">
      <alignment horizontal="left" vertical="center"/>
    </xf>
    <xf numFmtId="249" fontId="59" fillId="0" borderId="0" xfId="133" applyNumberFormat="1" applyFont="1" applyAlignment="1">
      <alignment horizontal="left" vertical="center"/>
    </xf>
    <xf numFmtId="250" fontId="59" fillId="0" borderId="0" xfId="133" applyNumberFormat="1" applyFont="1" applyAlignment="1">
      <alignment horizontal="left" vertical="center"/>
    </xf>
    <xf numFmtId="251" fontId="59" fillId="0" borderId="0" xfId="133" applyNumberFormat="1" applyFont="1" applyAlignment="1">
      <alignment horizontal="left" vertical="center"/>
    </xf>
    <xf numFmtId="273" fontId="43" fillId="0" borderId="0" xfId="130" applyNumberFormat="1" applyFont="1" applyAlignment="1">
      <alignment horizontal="center" vertical="center"/>
    </xf>
    <xf numFmtId="275" fontId="55" fillId="0" borderId="33" xfId="129" applyNumberFormat="1" applyFont="1" applyBorder="1" applyAlignment="1" applyProtection="1">
      <alignment horizontal="center" vertical="center" wrapText="1"/>
      <protection locked="0"/>
    </xf>
    <xf numFmtId="0" fontId="58" fillId="0" borderId="0" xfId="129" applyFont="1" applyAlignment="1">
      <alignment vertical="center"/>
    </xf>
    <xf numFmtId="182" fontId="58" fillId="27" borderId="33" xfId="129" applyNumberFormat="1" applyFont="1" applyFill="1" applyBorder="1" applyAlignment="1" applyProtection="1">
      <alignment horizontal="center" vertical="center" wrapText="1"/>
      <protection locked="0"/>
    </xf>
    <xf numFmtId="181" fontId="60" fillId="0" borderId="33" xfId="129" applyNumberFormat="1" applyFont="1" applyBorder="1" applyAlignment="1" applyProtection="1">
      <alignment horizontal="center" vertical="center" wrapText="1"/>
      <protection locked="0"/>
    </xf>
    <xf numFmtId="0" fontId="59" fillId="0" borderId="30" xfId="129" applyFont="1" applyBorder="1" applyAlignment="1">
      <alignment vertical="center"/>
    </xf>
    <xf numFmtId="3" fontId="29" fillId="0" borderId="61" xfId="107" applyNumberFormat="1" applyFont="1" applyBorder="1" applyAlignment="1">
      <alignment horizontal="center" vertical="center"/>
    </xf>
    <xf numFmtId="3" fontId="29" fillId="0" borderId="59" xfId="107" applyNumberFormat="1" applyFont="1" applyBorder="1" applyAlignment="1">
      <alignment horizontal="center" vertical="center"/>
    </xf>
  </cellXfs>
  <cellStyles count="140">
    <cellStyle name="20% - Accent1 2" xfId="31" xr:uid="{00000000-0005-0000-0000-000000000000}"/>
    <cellStyle name="20% - Accent2 2" xfId="32" xr:uid="{00000000-0005-0000-0000-000001000000}"/>
    <cellStyle name="20% - Accent3 2" xfId="33" xr:uid="{00000000-0005-0000-0000-000002000000}"/>
    <cellStyle name="20% - Accent4 2" xfId="34" xr:uid="{00000000-0005-0000-0000-000003000000}"/>
    <cellStyle name="20% - Accent5 2" xfId="35" xr:uid="{00000000-0005-0000-0000-000004000000}"/>
    <cellStyle name="20% - Accent6 2" xfId="36" xr:uid="{00000000-0005-0000-0000-000005000000}"/>
    <cellStyle name="40% - Accent1 2" xfId="37" xr:uid="{00000000-0005-0000-0000-000006000000}"/>
    <cellStyle name="40% - Accent2 2" xfId="38" xr:uid="{00000000-0005-0000-0000-000007000000}"/>
    <cellStyle name="40% - Accent3 2" xfId="39" xr:uid="{00000000-0005-0000-0000-000008000000}"/>
    <cellStyle name="40% - Accent4 2" xfId="40" xr:uid="{00000000-0005-0000-0000-000009000000}"/>
    <cellStyle name="40% - Accent5 2" xfId="41" xr:uid="{00000000-0005-0000-0000-00000A000000}"/>
    <cellStyle name="40% - Accent6 2" xfId="42" xr:uid="{00000000-0005-0000-0000-00000B000000}"/>
    <cellStyle name="60% - Accent1 2" xfId="43" xr:uid="{00000000-0005-0000-0000-00000C000000}"/>
    <cellStyle name="60% - Accent2 2" xfId="44" xr:uid="{00000000-0005-0000-0000-00000D000000}"/>
    <cellStyle name="60% - Accent3 2" xfId="45" xr:uid="{00000000-0005-0000-0000-00000E000000}"/>
    <cellStyle name="60% - Accent4 2" xfId="46" xr:uid="{00000000-0005-0000-0000-00000F000000}"/>
    <cellStyle name="60% - Accent5 2" xfId="47" xr:uid="{00000000-0005-0000-0000-000010000000}"/>
    <cellStyle name="60% - Accent6 2" xfId="48" xr:uid="{00000000-0005-0000-0000-000011000000}"/>
    <cellStyle name="Accent1 2" xfId="49" xr:uid="{00000000-0005-0000-0000-000012000000}"/>
    <cellStyle name="Accent2 2" xfId="50" xr:uid="{00000000-0005-0000-0000-000013000000}"/>
    <cellStyle name="Accent3 2" xfId="51" xr:uid="{00000000-0005-0000-0000-000014000000}"/>
    <cellStyle name="Accent4 2" xfId="52" xr:uid="{00000000-0005-0000-0000-000015000000}"/>
    <cellStyle name="Accent5 2" xfId="53" xr:uid="{00000000-0005-0000-0000-000016000000}"/>
    <cellStyle name="Accent6 2" xfId="54" xr:uid="{00000000-0005-0000-0000-000017000000}"/>
    <cellStyle name="Bad 2" xfId="55" xr:uid="{00000000-0005-0000-0000-000018000000}"/>
    <cellStyle name="Calculation 2" xfId="56" xr:uid="{00000000-0005-0000-0000-000019000000}"/>
    <cellStyle name="Check Cell 2" xfId="57" xr:uid="{00000000-0005-0000-0000-00001A000000}"/>
    <cellStyle name="Comma [0] 2" xfId="1" xr:uid="{00000000-0005-0000-0000-00001B000000}"/>
    <cellStyle name="Comma [0] 2 2" xfId="58" xr:uid="{00000000-0005-0000-0000-00001C000000}"/>
    <cellStyle name="Comma [0] 3" xfId="2" xr:uid="{00000000-0005-0000-0000-00001D000000}"/>
    <cellStyle name="Comma [0] 3 2" xfId="60" xr:uid="{00000000-0005-0000-0000-00001E000000}"/>
    <cellStyle name="Comma [0] 3 3" xfId="59" xr:uid="{00000000-0005-0000-0000-00001F000000}"/>
    <cellStyle name="Comma [0] 4" xfId="61" xr:uid="{00000000-0005-0000-0000-000020000000}"/>
    <cellStyle name="Comma [0] 4 2" xfId="62" xr:uid="{00000000-0005-0000-0000-000021000000}"/>
    <cellStyle name="Comma [0] 5" xfId="63" xr:uid="{00000000-0005-0000-0000-000022000000}"/>
    <cellStyle name="Comma [0] 5 2" xfId="64" xr:uid="{00000000-0005-0000-0000-000023000000}"/>
    <cellStyle name="Comma [0] 6" xfId="103" xr:uid="{00000000-0005-0000-0000-000024000000}"/>
    <cellStyle name="Comma 2 5" xfId="136" xr:uid="{8C5AC369-760A-4A36-AFA1-268575A7F4DF}"/>
    <cellStyle name="Excel Built-in Normal" xfId="27" xr:uid="{00000000-0005-0000-0000-000025000000}"/>
    <cellStyle name="Excel Built-in Normal 2" xfId="108" xr:uid="{00000000-0005-0000-0000-000026000000}"/>
    <cellStyle name="Explanatory Text 2" xfId="65" xr:uid="{00000000-0005-0000-0000-000027000000}"/>
    <cellStyle name="Good 2" xfId="66" xr:uid="{00000000-0005-0000-0000-000028000000}"/>
    <cellStyle name="Heading 1 2" xfId="67" xr:uid="{00000000-0005-0000-0000-000029000000}"/>
    <cellStyle name="Heading 2 2" xfId="68" xr:uid="{00000000-0005-0000-0000-00002A000000}"/>
    <cellStyle name="Heading 3 2" xfId="69" xr:uid="{00000000-0005-0000-0000-00002B000000}"/>
    <cellStyle name="Heading 4 2" xfId="70" xr:uid="{00000000-0005-0000-0000-00002C000000}"/>
    <cellStyle name="Hyperlink 2" xfId="30" xr:uid="{00000000-0005-0000-0000-00002D000000}"/>
    <cellStyle name="Input 2" xfId="71" xr:uid="{00000000-0005-0000-0000-00002E000000}"/>
    <cellStyle name="Linked Cell 2" xfId="72" xr:uid="{00000000-0005-0000-0000-00002F000000}"/>
    <cellStyle name="Neutral 2" xfId="73" xr:uid="{00000000-0005-0000-0000-000030000000}"/>
    <cellStyle name="Normaallaad 2" xfId="109" xr:uid="{00000000-0005-0000-0000-000031000000}"/>
    <cellStyle name="Normaallaad 3" xfId="110" xr:uid="{00000000-0005-0000-0000-000032000000}"/>
    <cellStyle name="Normaallaad 4" xfId="111" xr:uid="{00000000-0005-0000-0000-000033000000}"/>
    <cellStyle name="Normaallaad 4 2" xfId="133" xr:uid="{7EEBBD57-EF09-47AE-948D-EE1F941B9EBD}"/>
    <cellStyle name="Normaallaad 5" xfId="112" xr:uid="{00000000-0005-0000-0000-000034000000}"/>
    <cellStyle name="Normaallaad 5 2" xfId="113" xr:uid="{00000000-0005-0000-0000-000035000000}"/>
    <cellStyle name="Normaallaad 6" xfId="114" xr:uid="{00000000-0005-0000-0000-000036000000}"/>
    <cellStyle name="Normaallaad 7" xfId="115" xr:uid="{00000000-0005-0000-0000-000037000000}"/>
    <cellStyle name="Normaallaad 8" xfId="129" xr:uid="{35B75B4D-343F-4147-A783-431C424D74AC}"/>
    <cellStyle name="Normaallaad 9" xfId="139" xr:uid="{3AE30529-4B2F-4DA7-A37A-E2FEBCBDF2EB}"/>
    <cellStyle name="Normal" xfId="0" builtinId="0"/>
    <cellStyle name="Normal 10" xfId="116" xr:uid="{00000000-0005-0000-0000-000039000000}"/>
    <cellStyle name="Normal 11" xfId="117" xr:uid="{00000000-0005-0000-0000-00003A000000}"/>
    <cellStyle name="Normal 12" xfId="128" xr:uid="{00000000-0005-0000-0000-00003B000000}"/>
    <cellStyle name="Normal 13" xfId="3" xr:uid="{00000000-0005-0000-0000-00003C000000}"/>
    <cellStyle name="Normal 13 2" xfId="104" xr:uid="{00000000-0005-0000-0000-00003D000000}"/>
    <cellStyle name="Normal 2" xfId="4" xr:uid="{00000000-0005-0000-0000-00003E000000}"/>
    <cellStyle name="Normal 2 2" xfId="5" xr:uid="{00000000-0005-0000-0000-00003F000000}"/>
    <cellStyle name="Normal 2 2 2" xfId="6" xr:uid="{00000000-0005-0000-0000-000040000000}"/>
    <cellStyle name="Normal 2 2 2 2" xfId="74" xr:uid="{00000000-0005-0000-0000-000041000000}"/>
    <cellStyle name="Normal 2 2 2 3" xfId="105" xr:uid="{00000000-0005-0000-0000-000042000000}"/>
    <cellStyle name="Normal 2 2 3" xfId="75" xr:uid="{00000000-0005-0000-0000-000043000000}"/>
    <cellStyle name="Normal 2 2 3 2" xfId="76" xr:uid="{00000000-0005-0000-0000-000044000000}"/>
    <cellStyle name="Normal 2 2 3 3" xfId="107" xr:uid="{00000000-0005-0000-0000-000045000000}"/>
    <cellStyle name="Normal 2 2 4" xfId="77" xr:uid="{00000000-0005-0000-0000-000046000000}"/>
    <cellStyle name="Normal 2 2 4 2" xfId="78" xr:uid="{00000000-0005-0000-0000-000047000000}"/>
    <cellStyle name="Normal 2 2 5" xfId="106" xr:uid="{00000000-0005-0000-0000-000048000000}"/>
    <cellStyle name="Normal 2 3" xfId="7" xr:uid="{00000000-0005-0000-0000-000049000000}"/>
    <cellStyle name="Normal 2 3 2" xfId="79" xr:uid="{00000000-0005-0000-0000-00004A000000}"/>
    <cellStyle name="Normal 2 3 2 2" xfId="80" xr:uid="{00000000-0005-0000-0000-00004B000000}"/>
    <cellStyle name="Normal 2 3 3" xfId="81" xr:uid="{00000000-0005-0000-0000-00004C000000}"/>
    <cellStyle name="Normal 2 3 3 2" xfId="82" xr:uid="{00000000-0005-0000-0000-00004D000000}"/>
    <cellStyle name="Normal 2 3 4" xfId="83" xr:uid="{00000000-0005-0000-0000-00004E000000}"/>
    <cellStyle name="Normal 2 4" xfId="8" xr:uid="{00000000-0005-0000-0000-00004F000000}"/>
    <cellStyle name="Normal 2 5" xfId="9" xr:uid="{00000000-0005-0000-0000-000050000000}"/>
    <cellStyle name="Normal 2 6" xfId="10" xr:uid="{00000000-0005-0000-0000-000051000000}"/>
    <cellStyle name="Normal 2 7" xfId="11" xr:uid="{00000000-0005-0000-0000-000052000000}"/>
    <cellStyle name="Normal 2 8" xfId="132" xr:uid="{C644D508-8333-4FE6-A2DF-4F1D699E90F0}"/>
    <cellStyle name="Normal 20 2" xfId="84" xr:uid="{00000000-0005-0000-0000-000053000000}"/>
    <cellStyle name="Normal 3" xfId="12" xr:uid="{00000000-0005-0000-0000-000054000000}"/>
    <cellStyle name="Normal 3 2" xfId="13" xr:uid="{00000000-0005-0000-0000-000055000000}"/>
    <cellStyle name="Normal 3 3" xfId="14" xr:uid="{00000000-0005-0000-0000-000056000000}"/>
    <cellStyle name="Normal 3 4" xfId="15" xr:uid="{00000000-0005-0000-0000-000057000000}"/>
    <cellStyle name="Normal 3 5" xfId="29" xr:uid="{00000000-0005-0000-0000-000058000000}"/>
    <cellStyle name="Normal 3 6" xfId="130" xr:uid="{1E070A5E-9B48-4047-A7A3-1EC2F8378D4A}"/>
    <cellStyle name="Normal 4" xfId="16" xr:uid="{00000000-0005-0000-0000-000059000000}"/>
    <cellStyle name="Normal 4 2" xfId="17" xr:uid="{00000000-0005-0000-0000-00005A000000}"/>
    <cellStyle name="Normal 4 2 2" xfId="85" xr:uid="{00000000-0005-0000-0000-00005B000000}"/>
    <cellStyle name="Normal 4 2 3" xfId="86" xr:uid="{00000000-0005-0000-0000-00005C000000}"/>
    <cellStyle name="Normal 4 3" xfId="18" xr:uid="{00000000-0005-0000-0000-00005D000000}"/>
    <cellStyle name="Normal 4 3 2" xfId="87" xr:uid="{00000000-0005-0000-0000-00005E000000}"/>
    <cellStyle name="Normal 4 4" xfId="19" xr:uid="{00000000-0005-0000-0000-00005F000000}"/>
    <cellStyle name="Normal 4 4 2" xfId="88" xr:uid="{00000000-0005-0000-0000-000060000000}"/>
    <cellStyle name="Normal 4 5" xfId="20" xr:uid="{00000000-0005-0000-0000-000061000000}"/>
    <cellStyle name="Normal 4 6" xfId="21" xr:uid="{00000000-0005-0000-0000-000062000000}"/>
    <cellStyle name="Normal 4 7" xfId="28" xr:uid="{00000000-0005-0000-0000-000063000000}"/>
    <cellStyle name="Normal 4 8" xfId="131" xr:uid="{26A37442-F64E-4AE2-BE10-70F014BE7DFB}"/>
    <cellStyle name="Normal 43 4" xfId="134" xr:uid="{F9EAE5C0-FE89-4556-A566-8D23FD815F07}"/>
    <cellStyle name="Normal 44 3" xfId="135" xr:uid="{560BA6FD-906D-4BC6-9630-87E8AB4D41E2}"/>
    <cellStyle name="Normal 5" xfId="22" xr:uid="{00000000-0005-0000-0000-000064000000}"/>
    <cellStyle name="Normal 5 2" xfId="23" xr:uid="{00000000-0005-0000-0000-000065000000}"/>
    <cellStyle name="Normal 5 2 2" xfId="118" xr:uid="{00000000-0005-0000-0000-000066000000}"/>
    <cellStyle name="Normal 5 2 3" xfId="119" xr:uid="{00000000-0005-0000-0000-000067000000}"/>
    <cellStyle name="Normal 5 3" xfId="24" xr:uid="{00000000-0005-0000-0000-000068000000}"/>
    <cellStyle name="Normal 5 3 2" xfId="120" xr:uid="{00000000-0005-0000-0000-000069000000}"/>
    <cellStyle name="Normal 5 4" xfId="121" xr:uid="{00000000-0005-0000-0000-00006A000000}"/>
    <cellStyle name="Normal 5 5" xfId="122" xr:uid="{00000000-0005-0000-0000-00006B000000}"/>
    <cellStyle name="Normal 59" xfId="123" xr:uid="{00000000-0005-0000-0000-00006C000000}"/>
    <cellStyle name="Normal 6" xfId="25" xr:uid="{00000000-0005-0000-0000-00006D000000}"/>
    <cellStyle name="Normal 6 2" xfId="89" xr:uid="{00000000-0005-0000-0000-00006E000000}"/>
    <cellStyle name="Normal 7" xfId="26" xr:uid="{00000000-0005-0000-0000-00006F000000}"/>
    <cellStyle name="Normal 7 2" xfId="124" xr:uid="{00000000-0005-0000-0000-000070000000}"/>
    <cellStyle name="Normal 7 3" xfId="125" xr:uid="{00000000-0005-0000-0000-000071000000}"/>
    <cellStyle name="Normal 8" xfId="102" xr:uid="{00000000-0005-0000-0000-000072000000}"/>
    <cellStyle name="Normal 9" xfId="126" xr:uid="{00000000-0005-0000-0000-000073000000}"/>
    <cellStyle name="Normal 9 2" xfId="127" xr:uid="{00000000-0005-0000-0000-000074000000}"/>
    <cellStyle name="Normal 99" xfId="137" xr:uid="{BF1070B5-E1EA-465F-B4CB-9A94DEC431BF}"/>
    <cellStyle name="Normal_kk95_2" xfId="138" xr:uid="{6F5B896C-A4F9-4E69-A34B-A4A4C2FA07A3}"/>
    <cellStyle name="Note 2" xfId="90" xr:uid="{00000000-0005-0000-0000-000075000000}"/>
    <cellStyle name="Note 2 2" xfId="91" xr:uid="{00000000-0005-0000-0000-000076000000}"/>
    <cellStyle name="Note 2 3" xfId="92" xr:uid="{00000000-0005-0000-0000-000077000000}"/>
    <cellStyle name="Note 2 4" xfId="93" xr:uid="{00000000-0005-0000-0000-000078000000}"/>
    <cellStyle name="Note 3" xfId="94" xr:uid="{00000000-0005-0000-0000-000079000000}"/>
    <cellStyle name="Note 4" xfId="95" xr:uid="{00000000-0005-0000-0000-00007A000000}"/>
    <cellStyle name="Note 5" xfId="96" xr:uid="{00000000-0005-0000-0000-00007B000000}"/>
    <cellStyle name="Note 5 2" xfId="97" xr:uid="{00000000-0005-0000-0000-00007C000000}"/>
    <cellStyle name="Output 2" xfId="98" xr:uid="{00000000-0005-0000-0000-00007D000000}"/>
    <cellStyle name="Title 2" xfId="99" xr:uid="{00000000-0005-0000-0000-00007E000000}"/>
    <cellStyle name="Total 2" xfId="100" xr:uid="{00000000-0005-0000-0000-00007F000000}"/>
    <cellStyle name="Warning Text 2" xfId="101" xr:uid="{00000000-0005-0000-0000-000080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249092</xdr:colOff>
      <xdr:row>0</xdr:row>
      <xdr:rowOff>167768</xdr:rowOff>
    </xdr:from>
    <xdr:to>
      <xdr:col>4</xdr:col>
      <xdr:colOff>959545</xdr:colOff>
      <xdr:row>4</xdr:row>
      <xdr:rowOff>177275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475F09C-AFD7-4886-8C4C-E591C2ED33D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25374" y="167768"/>
          <a:ext cx="2476500" cy="726683"/>
        </a:xfrm>
        <a:prstGeom prst="rect">
          <a:avLst/>
        </a:prstGeom>
      </xdr:spPr>
    </xdr:pic>
    <xdr:clientData/>
  </xdr:twoCellAnchor>
  <xdr:twoCellAnchor editAs="oneCell">
    <xdr:from>
      <xdr:col>0</xdr:col>
      <xdr:colOff>35859</xdr:colOff>
      <xdr:row>0</xdr:row>
      <xdr:rowOff>80682</xdr:rowOff>
    </xdr:from>
    <xdr:to>
      <xdr:col>1</xdr:col>
      <xdr:colOff>785948</xdr:colOff>
      <xdr:row>5</xdr:row>
      <xdr:rowOff>22757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92CCECCB-26CC-4E97-BE95-FC98D8B4492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r="4191" b="-30"/>
        <a:stretch/>
      </xdr:blipFill>
      <xdr:spPr bwMode="auto">
        <a:xfrm>
          <a:off x="35859" y="80682"/>
          <a:ext cx="2614748" cy="8385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435429</xdr:colOff>
      <xdr:row>0</xdr:row>
      <xdr:rowOff>152400</xdr:rowOff>
    </xdr:from>
    <xdr:to>
      <xdr:col>4</xdr:col>
      <xdr:colOff>517072</xdr:colOff>
      <xdr:row>4</xdr:row>
      <xdr:rowOff>95312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193661D-3FEE-415D-8B47-38F164AB7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309258" y="152400"/>
          <a:ext cx="2476500" cy="726683"/>
        </a:xfrm>
        <a:prstGeom prst="rect">
          <a:avLst/>
        </a:prstGeom>
      </xdr:spPr>
    </xdr:pic>
    <xdr:clientData/>
  </xdr:twoCellAnchor>
  <xdr:twoCellAnchor editAs="oneCell">
    <xdr:from>
      <xdr:col>0</xdr:col>
      <xdr:colOff>119743</xdr:colOff>
      <xdr:row>0</xdr:row>
      <xdr:rowOff>65314</xdr:rowOff>
    </xdr:from>
    <xdr:to>
      <xdr:col>1</xdr:col>
      <xdr:colOff>1319348</xdr:colOff>
      <xdr:row>4</xdr:row>
      <xdr:rowOff>120089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856FBDD-BF7C-4899-AC45-17FBDE0A9B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176" r="4191" b="-30"/>
        <a:stretch/>
      </xdr:blipFill>
      <xdr:spPr bwMode="auto">
        <a:xfrm>
          <a:off x="119743" y="65314"/>
          <a:ext cx="2614748" cy="838546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2FC39B3-7D93-4D60-9893-D7E3BCDAD0C8}">
  <sheetPr>
    <tabColor rgb="FF00B0F0"/>
    <pageSetUpPr fitToPage="1"/>
  </sheetPr>
  <dimension ref="A6:Q36"/>
  <sheetViews>
    <sheetView showGridLines="0" tabSelected="1" zoomScale="85" zoomScaleNormal="85" workbookViewId="0">
      <selection activeCell="B27" sqref="B27"/>
    </sheetView>
  </sheetViews>
  <sheetFormatPr defaultColWidth="17.109375" defaultRowHeight="13.8"/>
  <cols>
    <col min="1" max="1" width="27.21875" style="441" bestFit="1" customWidth="1"/>
    <col min="2" max="2" width="16.21875" style="441" customWidth="1"/>
    <col min="3" max="3" width="13.44140625" style="441" customWidth="1"/>
    <col min="4" max="4" width="12.21875" style="441" bestFit="1" customWidth="1"/>
    <col min="5" max="5" width="21.6640625" style="441" bestFit="1" customWidth="1"/>
    <col min="6" max="6" width="13.33203125" style="438" customWidth="1"/>
    <col min="7" max="7" width="20.77734375" style="441" bestFit="1" customWidth="1"/>
    <col min="8" max="8" width="12.21875" style="441" bestFit="1" customWidth="1"/>
    <col min="9" max="9" width="11.88671875" style="441" bestFit="1" customWidth="1"/>
    <col min="10" max="10" width="16.77734375" style="441" bestFit="1" customWidth="1"/>
    <col min="11" max="11" width="9" style="441" bestFit="1" customWidth="1"/>
    <col min="12" max="13" width="9.109375" style="441" bestFit="1" customWidth="1"/>
    <col min="14" max="14" width="10.6640625" style="441" bestFit="1" customWidth="1"/>
    <col min="15" max="15" width="11.21875" style="441" bestFit="1" customWidth="1"/>
    <col min="16" max="16" width="18.33203125" style="441" bestFit="1" customWidth="1"/>
    <col min="17" max="17" width="7.88671875" style="438" customWidth="1"/>
    <col min="18" max="16384" width="17.109375" style="441"/>
  </cols>
  <sheetData>
    <row r="6" spans="1:17" ht="22.8">
      <c r="A6" s="451" t="s">
        <v>415</v>
      </c>
      <c r="B6" s="682"/>
      <c r="C6" s="682"/>
      <c r="D6" s="682"/>
      <c r="E6" s="440" t="s">
        <v>12</v>
      </c>
      <c r="H6" s="679"/>
      <c r="I6" s="679"/>
      <c r="J6" s="679"/>
      <c r="K6" s="679"/>
      <c r="L6" s="679"/>
      <c r="M6" s="679"/>
      <c r="N6" s="679"/>
      <c r="O6" s="679"/>
      <c r="P6" s="679"/>
      <c r="Q6" s="441"/>
    </row>
    <row r="7" spans="1:17">
      <c r="A7" s="442" t="s">
        <v>4</v>
      </c>
      <c r="B7" s="443"/>
      <c r="C7" s="444" t="s">
        <v>2</v>
      </c>
      <c r="D7" s="445" t="s">
        <v>12</v>
      </c>
      <c r="E7" s="680">
        <f>SUM(E8:E11)</f>
        <v>130.5</v>
      </c>
      <c r="H7" s="679"/>
      <c r="I7" s="679"/>
      <c r="J7" s="679"/>
      <c r="K7" s="679"/>
      <c r="L7" s="679"/>
      <c r="M7" s="679"/>
      <c r="N7" s="679"/>
      <c r="O7" s="679"/>
      <c r="P7" s="679"/>
      <c r="Q7" s="441"/>
    </row>
    <row r="8" spans="1:17">
      <c r="A8" s="446" t="s">
        <v>366</v>
      </c>
      <c r="B8" s="447"/>
      <c r="C8" s="448">
        <v>1000</v>
      </c>
      <c r="D8" s="678">
        <f>IF(A8="","",(_xlfn.XLOOKUP(A8,GWP!$B$3:$B$194,GWP!$D$3:$D$194)))</f>
        <v>7.2599999999999998E-2</v>
      </c>
      <c r="E8" s="681">
        <f>IF(C8="","",IFERROR(C8*D8,""))</f>
        <v>72.599999999999994</v>
      </c>
      <c r="F8" s="439"/>
      <c r="H8" s="679"/>
      <c r="I8" s="679"/>
      <c r="J8" s="679"/>
      <c r="K8" s="679"/>
      <c r="L8" s="679"/>
      <c r="M8" s="679"/>
      <c r="N8" s="679"/>
      <c r="O8" s="679"/>
      <c r="P8" s="679"/>
      <c r="Q8" s="441"/>
    </row>
    <row r="9" spans="1:17">
      <c r="A9" s="446" t="s">
        <v>369</v>
      </c>
      <c r="B9" s="447"/>
      <c r="C9" s="448">
        <v>1000</v>
      </c>
      <c r="D9" s="678">
        <f>IF(A9="","",(_xlfn.XLOOKUP(A9,GWP!$B$3:$B$194,GWP!$D$3:$D$194)))</f>
        <v>5.79E-2</v>
      </c>
      <c r="E9" s="681">
        <f>IF(C9="","",IFERROR(C9*D9,""))</f>
        <v>57.9</v>
      </c>
      <c r="H9" s="679"/>
      <c r="I9" s="679"/>
      <c r="J9" s="679"/>
      <c r="K9" s="679"/>
      <c r="L9" s="679"/>
      <c r="M9" s="679"/>
      <c r="N9" s="679"/>
      <c r="O9" s="679"/>
      <c r="P9" s="679"/>
      <c r="Q9" s="441"/>
    </row>
    <row r="10" spans="1:17">
      <c r="A10" s="446"/>
      <c r="B10" s="449"/>
      <c r="C10" s="448"/>
      <c r="D10" s="678" t="str">
        <f>IF(A10="","",(_xlfn.XLOOKUP(A10,GWP!$B$3:$B$194,GWP!$D$3:$D$194)))</f>
        <v/>
      </c>
      <c r="E10" s="681" t="str">
        <f>IF(C10="","",IFERROR(C10*D10,""))</f>
        <v/>
      </c>
      <c r="H10" s="679"/>
      <c r="I10" s="679"/>
      <c r="J10" s="679"/>
      <c r="K10" s="679"/>
      <c r="L10" s="679"/>
      <c r="M10" s="679"/>
      <c r="N10" s="679"/>
      <c r="O10" s="679"/>
      <c r="P10" s="679"/>
      <c r="Q10" s="441"/>
    </row>
    <row r="11" spans="1:17">
      <c r="A11" s="446"/>
      <c r="B11" s="449"/>
      <c r="C11" s="449"/>
      <c r="D11" s="678" t="str">
        <f>IF(A11="","",(_xlfn.XLOOKUP(A11,GWP!$B$3:$B$194,GWP!$D$3:$D$194)))</f>
        <v/>
      </c>
      <c r="E11" s="681" t="str">
        <f>IF(C11="","",IFERROR(C11*D11,""))</f>
        <v/>
      </c>
      <c r="H11" s="679"/>
      <c r="I11" s="679"/>
      <c r="J11" s="679"/>
      <c r="K11" s="679"/>
      <c r="L11" s="679"/>
      <c r="M11" s="679"/>
      <c r="N11" s="679"/>
      <c r="O11" s="679"/>
      <c r="P11" s="679"/>
      <c r="Q11" s="441"/>
    </row>
    <row r="12" spans="1:17" ht="16.2" customHeight="1"/>
    <row r="13" spans="1:17" ht="16.2" customHeight="1"/>
    <row r="14" spans="1:17" ht="16.2" customHeight="1"/>
    <row r="15" spans="1:17" ht="16.2" customHeight="1">
      <c r="A15" s="450"/>
    </row>
    <row r="16" spans="1:17" ht="16.2" customHeight="1">
      <c r="A16" s="419"/>
    </row>
    <row r="17" spans="1:2" ht="16.2" customHeight="1">
      <c r="A17" s="419"/>
    </row>
    <row r="18" spans="1:2" ht="16.2" customHeight="1">
      <c r="A18" s="394"/>
    </row>
    <row r="19" spans="1:2" ht="16.2" customHeight="1">
      <c r="A19" s="314"/>
      <c r="B19" s="452"/>
    </row>
    <row r="20" spans="1:2" ht="16.2" customHeight="1"/>
    <row r="21" spans="1:2" ht="16.2" customHeight="1">
      <c r="A21" s="394"/>
    </row>
    <row r="22" spans="1:2" ht="16.2" customHeight="1"/>
    <row r="23" spans="1:2" ht="16.2" customHeight="1"/>
    <row r="24" spans="1:2" ht="16.2" customHeight="1">
      <c r="A24" s="450"/>
    </row>
    <row r="25" spans="1:2" ht="16.2" customHeight="1">
      <c r="A25" s="419"/>
    </row>
    <row r="26" spans="1:2" ht="16.2" customHeight="1">
      <c r="A26" s="419"/>
    </row>
    <row r="27" spans="1:2" ht="16.2" customHeight="1">
      <c r="A27" s="419"/>
    </row>
    <row r="28" spans="1:2" ht="16.2" customHeight="1">
      <c r="A28" s="392"/>
    </row>
    <row r="29" spans="1:2" ht="16.2" customHeight="1">
      <c r="A29" s="392"/>
    </row>
    <row r="30" spans="1:2" ht="16.2" customHeight="1">
      <c r="A30" s="392"/>
    </row>
    <row r="31" spans="1:2" ht="16.2" customHeight="1">
      <c r="A31" s="419"/>
    </row>
    <row r="32" spans="1:2" ht="16.2" customHeight="1">
      <c r="A32" s="392"/>
    </row>
    <row r="33" spans="1:1" ht="16.2" customHeight="1">
      <c r="A33" s="419"/>
    </row>
    <row r="34" spans="1:1" ht="16.2" customHeight="1">
      <c r="A34" s="419"/>
    </row>
    <row r="35" spans="1:1" ht="16.2" customHeight="1">
      <c r="A35" s="419"/>
    </row>
    <row r="36" spans="1:1" ht="16.2" customHeight="1">
      <c r="A36" s="419"/>
    </row>
  </sheetData>
  <sheetProtection selectLockedCells="1"/>
  <dataConsolidate/>
  <pageMargins left="0.7" right="0.7" top="0.75" bottom="0.75" header="0.3" footer="0.3"/>
  <pageSetup paperSize="9" scale="63" orientation="landscape" r:id="rId1"/>
  <ignoredErrors>
    <ignoredError sqref="D8:E11 E7" unlockedFormula="1"/>
  </ignoredErrors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A2B0B329-2666-4F84-A596-59DFF079DBB0}">
          <x14:formula1>
            <xm:f>GWP!$B$2:$B$245</xm:f>
          </x14:formula1>
          <xm:sqref>A8:A9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93B851-E201-4109-9D84-BA7640CBF446}">
  <dimension ref="A6:AM115"/>
  <sheetViews>
    <sheetView zoomScale="70" zoomScaleNormal="70" workbookViewId="0">
      <selection activeCell="A107" sqref="A107:XFD120"/>
    </sheetView>
  </sheetViews>
  <sheetFormatPr defaultColWidth="8.6640625" defaultRowHeight="15" outlineLevelCol="1"/>
  <cols>
    <col min="1" max="1" width="20.5546875" style="462" bestFit="1" customWidth="1"/>
    <col min="2" max="2" width="21.33203125" style="454" bestFit="1" customWidth="1"/>
    <col min="3" max="4" width="17.44140625" style="454" bestFit="1" customWidth="1"/>
    <col min="5" max="5" width="18.44140625" style="455" bestFit="1" customWidth="1"/>
    <col min="6" max="9" width="18.21875" style="455" bestFit="1" customWidth="1"/>
    <col min="10" max="10" width="18.21875" style="456" bestFit="1" customWidth="1"/>
    <col min="11" max="11" width="21.33203125" style="457" hidden="1" customWidth="1" outlineLevel="1"/>
    <col min="12" max="12" width="15.88671875" style="458" hidden="1" customWidth="1" outlineLevel="1"/>
    <col min="13" max="13" width="18.6640625" style="457" hidden="1" customWidth="1" outlineLevel="1"/>
    <col min="14" max="14" width="20.21875" style="514" hidden="1" customWidth="1" outlineLevel="1"/>
    <col min="15" max="15" width="31.77734375" style="457" hidden="1" customWidth="1" outlineLevel="1"/>
    <col min="16" max="16" width="16" style="457" hidden="1" customWidth="1" outlineLevel="1"/>
    <col min="17" max="17" width="17.44140625" style="457" hidden="1" customWidth="1" outlineLevel="1"/>
    <col min="18" max="18" width="19.44140625" style="457" hidden="1" customWidth="1" outlineLevel="1"/>
    <col min="19" max="19" width="15.5546875" style="457" hidden="1" customWidth="1" outlineLevel="1"/>
    <col min="20" max="20" width="16" style="457" hidden="1" customWidth="1" outlineLevel="1"/>
    <col min="21" max="21" width="17.44140625" style="457" hidden="1" customWidth="1" outlineLevel="1"/>
    <col min="22" max="22" width="19.44140625" style="457" hidden="1" customWidth="1" outlineLevel="1"/>
    <col min="23" max="23" width="8.5546875" style="457" hidden="1" customWidth="1" outlineLevel="1"/>
    <col min="24" max="24" width="16" style="457" hidden="1" customWidth="1" outlineLevel="1"/>
    <col min="25" max="25" width="17.44140625" style="457" hidden="1" customWidth="1" outlineLevel="1"/>
    <col min="26" max="26" width="16.77734375" style="457" hidden="1" customWidth="1" outlineLevel="1"/>
    <col min="27" max="27" width="18.33203125" style="457" hidden="1" customWidth="1" outlineLevel="1"/>
    <col min="28" max="28" width="16" style="457" hidden="1" customWidth="1" outlineLevel="1"/>
    <col min="29" max="29" width="17.44140625" style="457" hidden="1" customWidth="1" outlineLevel="1"/>
    <col min="30" max="30" width="18" style="457" hidden="1" customWidth="1" outlineLevel="1"/>
    <col min="31" max="31" width="15.44140625" style="457" hidden="1" customWidth="1" outlineLevel="1"/>
    <col min="32" max="32" width="16.33203125" style="457" hidden="1" customWidth="1" outlineLevel="1"/>
    <col min="33" max="33" width="17.44140625" style="457" hidden="1" customWidth="1" outlineLevel="1"/>
    <col min="34" max="34" width="18" style="457" hidden="1" customWidth="1" outlineLevel="1"/>
    <col min="35" max="35" width="15.44140625" style="457" hidden="1" customWidth="1" outlineLevel="1"/>
    <col min="36" max="36" width="17.5546875" style="457" hidden="1" customWidth="1" outlineLevel="1"/>
    <col min="37" max="37" width="17.44140625" style="457" hidden="1" customWidth="1" outlineLevel="1"/>
    <col min="38" max="38" width="18" style="457" hidden="1" customWidth="1" outlineLevel="1"/>
    <col min="39" max="39" width="8.6640625" style="457" collapsed="1"/>
    <col min="40" max="16384" width="8.6640625" style="457"/>
  </cols>
  <sheetData>
    <row r="6" spans="1:16" ht="15.6">
      <c r="A6" s="453" t="s">
        <v>416</v>
      </c>
      <c r="M6" s="459" t="s">
        <v>166</v>
      </c>
      <c r="N6" s="460">
        <v>3.1455790531179968</v>
      </c>
      <c r="O6" s="461">
        <v>0.9</v>
      </c>
    </row>
    <row r="7" spans="1:16" s="458" customFormat="1">
      <c r="A7" s="466" t="s">
        <v>21</v>
      </c>
      <c r="B7" s="466" t="s">
        <v>15</v>
      </c>
      <c r="C7" s="467"/>
      <c r="D7" s="467"/>
      <c r="E7" s="455"/>
      <c r="F7" s="455"/>
      <c r="G7" s="455"/>
      <c r="M7" s="468" t="s">
        <v>176</v>
      </c>
      <c r="N7" s="469">
        <v>2.31</v>
      </c>
      <c r="O7" s="464"/>
    </row>
    <row r="8" spans="1:16" s="458" customFormat="1">
      <c r="A8" s="470">
        <v>6</v>
      </c>
      <c r="B8" s="471">
        <v>5</v>
      </c>
      <c r="C8" s="472"/>
      <c r="D8" s="472"/>
      <c r="E8" s="455"/>
      <c r="F8" s="455"/>
      <c r="G8" s="455"/>
      <c r="H8" s="455"/>
      <c r="I8" s="455"/>
      <c r="J8" s="456"/>
      <c r="M8" s="473" t="s">
        <v>177</v>
      </c>
      <c r="N8" s="474">
        <v>1.881</v>
      </c>
      <c r="O8" s="464"/>
    </row>
    <row r="9" spans="1:16" ht="15.6">
      <c r="A9" s="475" t="s">
        <v>48</v>
      </c>
      <c r="B9" s="476" t="s">
        <v>3</v>
      </c>
      <c r="C9" s="476"/>
      <c r="D9" s="667"/>
      <c r="E9" s="477">
        <v>1.65</v>
      </c>
      <c r="F9" s="478" t="s">
        <v>417</v>
      </c>
      <c r="G9" s="478" t="s">
        <v>53</v>
      </c>
      <c r="H9" s="478" t="s">
        <v>51</v>
      </c>
      <c r="I9" s="478" t="s">
        <v>52</v>
      </c>
      <c r="J9" s="479" t="s">
        <v>50</v>
      </c>
      <c r="M9" s="480" t="s">
        <v>178</v>
      </c>
      <c r="N9" s="481">
        <v>0.22867000000000001</v>
      </c>
      <c r="O9" s="460">
        <v>2.9144806484743908</v>
      </c>
    </row>
    <row r="10" spans="1:16" s="487" customFormat="1">
      <c r="A10" s="482"/>
      <c r="B10" s="569">
        <f>Masinad!$D$13</f>
        <v>224</v>
      </c>
      <c r="C10" s="483">
        <f>Masinad!$E$13</f>
        <v>241.0016</v>
      </c>
      <c r="D10" s="659"/>
      <c r="E10" s="484">
        <f>B10*0.53*(0.6957*$B$8^-0.095)/C10</f>
        <v>0.29411949731012527</v>
      </c>
      <c r="F10" s="485">
        <f>E10</f>
        <v>0.29411949731012527</v>
      </c>
      <c r="G10" s="485">
        <f>E10</f>
        <v>0.29411949731012527</v>
      </c>
      <c r="H10" s="485"/>
      <c r="I10" s="485">
        <f>E10</f>
        <v>0.29411949731012527</v>
      </c>
      <c r="J10" s="486">
        <f>E10</f>
        <v>0.29411949731012527</v>
      </c>
      <c r="M10" s="463" t="s">
        <v>179</v>
      </c>
      <c r="N10" s="488">
        <v>2.5050145501265423E-3</v>
      </c>
      <c r="O10" s="489">
        <v>2.5050145501265423E-3</v>
      </c>
    </row>
    <row r="11" spans="1:16" s="487" customFormat="1">
      <c r="A11" s="490">
        <f>$O$14</f>
        <v>28</v>
      </c>
      <c r="B11" s="491">
        <f>$O$15</f>
        <v>330</v>
      </c>
      <c r="C11" s="492">
        <v>1</v>
      </c>
      <c r="D11" s="665">
        <v>1</v>
      </c>
      <c r="E11" s="494">
        <f>((B11*
IF(OR(ISTEXT(D11),D11&lt;5),0.52,
  IF(D11&lt;50,MAX(-0.0014*D11+0.46,0.39),
    IF(D11&lt;=100,(-0.0014*D11+0.45),0.31)))*(0.6957*$B$8^-0.088)/(A11*80/2)))</f>
        <v>9.2514946884048668E-2</v>
      </c>
      <c r="F11" s="495"/>
      <c r="G11" s="495"/>
      <c r="H11" s="495"/>
      <c r="I11" s="495"/>
      <c r="J11" s="496">
        <f>E11</f>
        <v>9.2514946884048668E-2</v>
      </c>
      <c r="M11" s="480" t="s">
        <v>104</v>
      </c>
      <c r="N11" s="481">
        <v>0.71518000000000004</v>
      </c>
      <c r="O11" s="464"/>
    </row>
    <row r="12" spans="1:16" s="487" customFormat="1">
      <c r="A12" s="482"/>
      <c r="B12" s="593">
        <f>Masinad!$D$86</f>
        <v>82</v>
      </c>
      <c r="C12" s="660">
        <f>Masinad!$E$86</f>
        <v>267.4390243902439</v>
      </c>
      <c r="D12" s="659"/>
      <c r="E12" s="484">
        <f>B12*0.53*(0.6957*$B$8^-0.095)/C12</f>
        <v>9.7025255629580517E-2</v>
      </c>
      <c r="F12" s="495"/>
      <c r="G12" s="495"/>
      <c r="H12" s="495"/>
      <c r="I12" s="495">
        <f>E12</f>
        <v>9.7025255629580517E-2</v>
      </c>
      <c r="J12" s="496">
        <f>E12</f>
        <v>9.7025255629580517E-2</v>
      </c>
      <c r="M12" s="468" t="s">
        <v>180</v>
      </c>
      <c r="N12" s="497">
        <v>0.4</v>
      </c>
      <c r="O12" s="464"/>
    </row>
    <row r="13" spans="1:16" s="487" customFormat="1">
      <c r="A13" s="482"/>
      <c r="B13" s="498">
        <v>600</v>
      </c>
      <c r="C13" s="483">
        <f>Masinad!$E$95</f>
        <v>200</v>
      </c>
      <c r="D13" s="659"/>
      <c r="E13" s="484">
        <f>B13*$N$12*0.53/C13</f>
        <v>0.63600000000000001</v>
      </c>
      <c r="F13" s="495"/>
      <c r="G13" s="495"/>
      <c r="H13" s="485">
        <f>E13</f>
        <v>0.63600000000000001</v>
      </c>
      <c r="I13" s="495"/>
      <c r="J13" s="496"/>
      <c r="M13" s="465" t="s">
        <v>181</v>
      </c>
      <c r="N13" s="481">
        <v>2.3133999999999999E-4</v>
      </c>
      <c r="O13" s="464"/>
    </row>
    <row r="14" spans="1:16" s="487" customFormat="1" ht="15" customHeight="1">
      <c r="A14" s="482"/>
      <c r="B14" s="549">
        <f>Masinad!$D$98</f>
        <v>150</v>
      </c>
      <c r="C14" s="483">
        <f>Masinad!$E$98</f>
        <v>100</v>
      </c>
      <c r="D14" s="659"/>
      <c r="E14" s="484">
        <f>B14*$N$12*0.53/C14</f>
        <v>0.318</v>
      </c>
      <c r="F14" s="495"/>
      <c r="G14" s="495"/>
      <c r="H14" s="495"/>
      <c r="I14" s="495"/>
      <c r="J14" s="496">
        <f>E14</f>
        <v>0.318</v>
      </c>
      <c r="M14" s="499" t="s">
        <v>15</v>
      </c>
      <c r="N14" s="499" t="s">
        <v>21</v>
      </c>
      <c r="O14" s="500">
        <v>28</v>
      </c>
      <c r="P14" s="500">
        <v>13</v>
      </c>
    </row>
    <row r="15" spans="1:16" s="487" customFormat="1" ht="14.4" customHeight="1">
      <c r="A15" s="482"/>
      <c r="B15" s="536">
        <f>Masinad!$D$28</f>
        <v>222</v>
      </c>
      <c r="C15" s="483">
        <f>Masinad!$E$28*$E$78</f>
        <v>705.96</v>
      </c>
      <c r="D15" s="668"/>
      <c r="E15" s="484">
        <f>B15*0.53*(0.6957*$B$8^-0.095)/C15/$E$9</f>
        <v>6.0309351468641852E-2</v>
      </c>
      <c r="F15" s="495"/>
      <c r="G15" s="495">
        <f>E15</f>
        <v>6.0309351468641852E-2</v>
      </c>
      <c r="H15" s="495">
        <f>E15</f>
        <v>6.0309351468641852E-2</v>
      </c>
      <c r="I15" s="495">
        <f>E15</f>
        <v>6.0309351468641852E-2</v>
      </c>
      <c r="J15" s="496">
        <f>E15</f>
        <v>6.0309351468641852E-2</v>
      </c>
      <c r="M15" s="503">
        <v>5</v>
      </c>
      <c r="N15" s="504">
        <v>6</v>
      </c>
      <c r="O15" s="505">
        <v>330</v>
      </c>
      <c r="P15" s="505">
        <v>200</v>
      </c>
    </row>
    <row r="16" spans="1:16" ht="14.4" customHeight="1">
      <c r="A16" s="506"/>
      <c r="B16" s="487"/>
      <c r="C16" s="487"/>
      <c r="D16" s="487"/>
      <c r="E16" s="507"/>
      <c r="F16" s="508">
        <f>SUM(F10:F15)</f>
        <v>0.29411949731012527</v>
      </c>
      <c r="G16" s="508">
        <f t="shared" ref="G16:J16" si="0">SUM(G10:G15)</f>
        <v>0.35442884877876712</v>
      </c>
      <c r="H16" s="508">
        <f>SUM(H10:H15)</f>
        <v>0.69630935146864181</v>
      </c>
      <c r="I16" s="508">
        <f t="shared" si="0"/>
        <v>0.45145410440834766</v>
      </c>
      <c r="J16" s="508">
        <f t="shared" si="0"/>
        <v>0.8619690512923962</v>
      </c>
      <c r="L16" s="424"/>
      <c r="M16" s="509"/>
      <c r="N16" s="457"/>
    </row>
    <row r="17" spans="1:33" ht="14.4" customHeight="1">
      <c r="B17" s="510"/>
      <c r="C17" s="510"/>
      <c r="D17" s="510"/>
      <c r="E17" s="511"/>
      <c r="F17" s="512"/>
      <c r="G17" s="512"/>
      <c r="H17" s="512"/>
      <c r="I17" s="512"/>
      <c r="J17" s="512"/>
      <c r="L17" s="424"/>
      <c r="M17" s="513"/>
      <c r="N17" s="457"/>
    </row>
    <row r="18" spans="1:33">
      <c r="O18" s="514"/>
      <c r="P18" s="515"/>
    </row>
    <row r="19" spans="1:33">
      <c r="A19" s="466" t="s">
        <v>21</v>
      </c>
      <c r="B19" s="466" t="s">
        <v>15</v>
      </c>
      <c r="C19" s="467"/>
      <c r="D19" s="467"/>
      <c r="E19" s="487"/>
      <c r="F19" s="487"/>
      <c r="P19" s="515"/>
    </row>
    <row r="20" spans="1:33">
      <c r="A20" s="470">
        <v>6</v>
      </c>
      <c r="B20" s="471">
        <v>5</v>
      </c>
      <c r="C20" s="472"/>
      <c r="D20" s="472"/>
      <c r="E20" s="487"/>
      <c r="J20" s="462"/>
      <c r="O20" s="514"/>
    </row>
    <row r="21" spans="1:33" ht="16.2" thickBot="1">
      <c r="A21" s="516" t="s">
        <v>44</v>
      </c>
      <c r="B21" s="517" t="s">
        <v>3</v>
      </c>
      <c r="C21" s="476"/>
      <c r="D21" s="664"/>
      <c r="E21" s="518">
        <v>1.75</v>
      </c>
      <c r="F21" s="519" t="s">
        <v>418</v>
      </c>
      <c r="G21" s="519" t="s">
        <v>419</v>
      </c>
      <c r="H21" s="519" t="s">
        <v>420</v>
      </c>
      <c r="I21" s="519" t="s">
        <v>421</v>
      </c>
      <c r="L21" s="520"/>
    </row>
    <row r="22" spans="1:33" s="487" customFormat="1">
      <c r="A22" s="482"/>
      <c r="B22" s="569">
        <f>Masinad!$D$13</f>
        <v>224</v>
      </c>
      <c r="C22" s="483">
        <f>Masinad!$E$13</f>
        <v>241.0016</v>
      </c>
      <c r="D22" s="659"/>
      <c r="E22" s="484">
        <f>B22*0.53*(0.6957*$B$20^-0.095)/C22</f>
        <v>0.29411949731012527</v>
      </c>
      <c r="F22" s="521">
        <f>E22</f>
        <v>0.29411949731012527</v>
      </c>
      <c r="G22" s="521">
        <f>E22</f>
        <v>0.29411949731012527</v>
      </c>
      <c r="H22" s="521">
        <f>E22</f>
        <v>0.29411949731012527</v>
      </c>
      <c r="I22" s="522">
        <f>E22</f>
        <v>0.29411949731012527</v>
      </c>
      <c r="J22" s="523"/>
      <c r="L22" s="455"/>
      <c r="N22" s="454"/>
    </row>
    <row r="23" spans="1:33" s="487" customFormat="1">
      <c r="A23" s="490">
        <f>$O$14</f>
        <v>28</v>
      </c>
      <c r="B23" s="491">
        <f>$O$15</f>
        <v>330</v>
      </c>
      <c r="C23" s="492">
        <v>1</v>
      </c>
      <c r="D23" s="665">
        <v>1</v>
      </c>
      <c r="E23" s="494">
        <f>((B23*
IF(OR(ISTEXT(D23),D23&lt;5),0.52,
  IF(D23&lt;50,MAX(-0.0014*D23+0.46,0.39),
    IF(D23&lt;=100,(-0.0014*D23+0.45),0.31)))*(0.6957*$B$20^-0.088)/(A23*80/2)))</f>
        <v>9.2514946884048668E-2</v>
      </c>
      <c r="F23" s="524">
        <f>E23</f>
        <v>9.2514946884048668E-2</v>
      </c>
      <c r="G23" s="524">
        <f>E23</f>
        <v>9.2514946884048668E-2</v>
      </c>
      <c r="H23" s="524">
        <f>E23</f>
        <v>9.2514946884048668E-2</v>
      </c>
      <c r="I23" s="525">
        <f>E23</f>
        <v>9.2514946884048668E-2</v>
      </c>
      <c r="J23" s="523"/>
      <c r="L23" s="455"/>
      <c r="N23" s="454"/>
    </row>
    <row r="24" spans="1:33" s="487" customFormat="1">
      <c r="A24" s="482"/>
      <c r="B24" s="569">
        <f>Masinad!$D$13</f>
        <v>224</v>
      </c>
      <c r="C24" s="483">
        <f>Masinad!$E$13</f>
        <v>241.0016</v>
      </c>
      <c r="D24" s="659"/>
      <c r="E24" s="484">
        <f>B24*0.53*(0.6957*$B$20^-0.095)/C24</f>
        <v>0.29411949731012527</v>
      </c>
      <c r="F24" s="495">
        <f>E24</f>
        <v>0.29411949731012527</v>
      </c>
      <c r="G24" s="495">
        <f>E24</f>
        <v>0.29411949731012527</v>
      </c>
      <c r="H24" s="495">
        <f>E24</f>
        <v>0.29411949731012527</v>
      </c>
      <c r="I24" s="495">
        <f>E24</f>
        <v>0.29411949731012527</v>
      </c>
      <c r="J24" s="456"/>
      <c r="L24" s="455"/>
      <c r="N24" s="454"/>
    </row>
    <row r="25" spans="1:33" s="487" customFormat="1">
      <c r="A25" s="482"/>
      <c r="B25" s="593">
        <f>Masinad!$D$86</f>
        <v>82</v>
      </c>
      <c r="C25" s="660">
        <f>Masinad!$E$86</f>
        <v>267.4390243902439</v>
      </c>
      <c r="D25" s="659"/>
      <c r="E25" s="484">
        <f>B25*0.53*(0.6957*$B$20^-0.095)/C25</f>
        <v>9.7025255629580517E-2</v>
      </c>
      <c r="F25" s="495">
        <f>E25</f>
        <v>9.7025255629580517E-2</v>
      </c>
      <c r="G25" s="495">
        <f>E25</f>
        <v>9.7025255629580517E-2</v>
      </c>
      <c r="H25" s="495">
        <f>E25</f>
        <v>9.7025255629580517E-2</v>
      </c>
      <c r="I25" s="495">
        <f>E25</f>
        <v>9.7025255629580517E-2</v>
      </c>
      <c r="J25" s="456"/>
      <c r="L25" s="455"/>
      <c r="N25" s="454"/>
    </row>
    <row r="26" spans="1:33" s="487" customFormat="1">
      <c r="A26" s="482"/>
      <c r="B26" s="569">
        <f>Masinad!$D$13</f>
        <v>224</v>
      </c>
      <c r="C26" s="483">
        <f>Masinad!$E$13</f>
        <v>241.0016</v>
      </c>
      <c r="D26" s="666"/>
      <c r="E26" s="526">
        <f>B26*0.53*(0.6957*$B$20^-0.095)/C26</f>
        <v>0.29411949731012527</v>
      </c>
      <c r="F26" s="527"/>
      <c r="G26" s="527"/>
      <c r="H26" s="527"/>
      <c r="I26" s="527"/>
      <c r="J26" s="456"/>
      <c r="L26" s="455"/>
      <c r="N26" s="454"/>
    </row>
    <row r="27" spans="1:33" s="487" customFormat="1">
      <c r="A27" s="482"/>
      <c r="B27" s="587">
        <f>Masinad!$D$77</f>
        <v>403</v>
      </c>
      <c r="C27" s="660">
        <f>Masinad!$E$77</f>
        <v>100.75</v>
      </c>
      <c r="D27" s="659"/>
      <c r="E27" s="484">
        <f>B27*0.53*(0.6957*$B$20^-0.095)/C27</f>
        <v>1.2657726686238553</v>
      </c>
      <c r="F27" s="495">
        <f>E27</f>
        <v>1.2657726686238553</v>
      </c>
      <c r="G27" s="495">
        <f>E27</f>
        <v>1.2657726686238553</v>
      </c>
      <c r="H27" s="495">
        <f>E27</f>
        <v>1.2657726686238553</v>
      </c>
      <c r="I27" s="495">
        <f>E27</f>
        <v>1.2657726686238553</v>
      </c>
      <c r="J27" s="456"/>
      <c r="L27" s="455"/>
      <c r="N27" s="454"/>
    </row>
    <row r="28" spans="1:33" s="487" customFormat="1">
      <c r="A28" s="482"/>
      <c r="B28" s="593">
        <f>Masinad!$D$86</f>
        <v>82</v>
      </c>
      <c r="C28" s="660">
        <f>Masinad!$E$86</f>
        <v>267.4390243902439</v>
      </c>
      <c r="D28" s="659"/>
      <c r="E28" s="484">
        <f>B28*0.53*(0.6957*$B$20^-0.095)/C28</f>
        <v>9.7025255629580517E-2</v>
      </c>
      <c r="F28" s="495"/>
      <c r="G28" s="495">
        <f>E28</f>
        <v>9.7025255629580517E-2</v>
      </c>
      <c r="H28" s="495">
        <f>E28</f>
        <v>9.7025255629580517E-2</v>
      </c>
      <c r="I28" s="495">
        <f>E28</f>
        <v>9.7025255629580517E-2</v>
      </c>
      <c r="J28" s="456"/>
      <c r="L28" s="455"/>
      <c r="N28" s="454"/>
    </row>
    <row r="29" spans="1:33" s="487" customFormat="1">
      <c r="A29" s="482"/>
      <c r="B29" s="549">
        <f>Masinad!$D$98</f>
        <v>150</v>
      </c>
      <c r="C29" s="483">
        <f>Masinad!$E$98</f>
        <v>100</v>
      </c>
      <c r="D29" s="659"/>
      <c r="E29" s="484">
        <f>B29*$N$12*0.53/C29</f>
        <v>0.318</v>
      </c>
      <c r="F29" s="495"/>
      <c r="G29" s="495">
        <f>E29</f>
        <v>0.318</v>
      </c>
      <c r="H29" s="495">
        <f>E29</f>
        <v>0.318</v>
      </c>
      <c r="I29" s="495"/>
      <c r="J29" s="456"/>
      <c r="L29" s="455"/>
      <c r="N29" s="454"/>
    </row>
    <row r="30" spans="1:33" s="487" customFormat="1">
      <c r="A30" s="482"/>
      <c r="B30" s="541">
        <f>Masinad!$D$86</f>
        <v>82</v>
      </c>
      <c r="C30" s="660">
        <f>Masinad!$E$86</f>
        <v>267.4390243902439</v>
      </c>
      <c r="D30" s="659"/>
      <c r="E30" s="484">
        <f>B30*0.53*(0.6957*$B$39^-0.095)/C30</f>
        <v>9.7025255629580517E-2</v>
      </c>
      <c r="F30" s="495"/>
      <c r="G30" s="495"/>
      <c r="H30" s="495">
        <f>E30</f>
        <v>9.7025255629580517E-2</v>
      </c>
      <c r="I30" s="495"/>
      <c r="J30" s="456"/>
      <c r="L30" s="455"/>
      <c r="N30" s="454"/>
    </row>
    <row r="31" spans="1:33" s="487" customFormat="1">
      <c r="A31" s="482"/>
      <c r="B31" s="536">
        <f>Masinad!$D$28</f>
        <v>222</v>
      </c>
      <c r="C31" s="483">
        <f>Masinad!$E$28*$E$78</f>
        <v>705.96</v>
      </c>
      <c r="D31" s="659"/>
      <c r="E31" s="484">
        <f>B31*0.53*(0.6957*$B$20^-0.095)/C31</f>
        <v>9.951042992325905E-2</v>
      </c>
      <c r="F31" s="495">
        <f>E31</f>
        <v>9.951042992325905E-2</v>
      </c>
      <c r="G31" s="495">
        <f>E31</f>
        <v>9.951042992325905E-2</v>
      </c>
      <c r="H31" s="495">
        <f>E31</f>
        <v>9.951042992325905E-2</v>
      </c>
      <c r="I31" s="495">
        <f>E31</f>
        <v>9.951042992325905E-2</v>
      </c>
      <c r="J31" s="456"/>
      <c r="L31" s="455"/>
      <c r="N31" s="454"/>
    </row>
    <row r="32" spans="1:33" ht="15.6">
      <c r="A32" s="506"/>
      <c r="B32" s="487"/>
      <c r="C32" s="487"/>
      <c r="D32" s="487"/>
      <c r="E32" s="454"/>
      <c r="F32" s="508">
        <f>SUM(F22:F31)</f>
        <v>2.1430622956809939</v>
      </c>
      <c r="G32" s="508">
        <f>SUM(G22:G31)</f>
        <v>2.5580875513105745</v>
      </c>
      <c r="H32" s="508">
        <f>SUM(H22:H31)</f>
        <v>2.6551128069401551</v>
      </c>
      <c r="I32" s="508">
        <f>SUM(I22:I31)</f>
        <v>2.2400875513105745</v>
      </c>
      <c r="AG32" s="528"/>
    </row>
    <row r="33" spans="1:38" ht="15.6" thickBot="1">
      <c r="E33" s="511"/>
      <c r="F33" s="512"/>
      <c r="G33" s="512"/>
      <c r="H33" s="512"/>
      <c r="I33" s="512"/>
      <c r="J33" s="529"/>
    </row>
    <row r="34" spans="1:38">
      <c r="E34" s="454"/>
      <c r="F34" s="512"/>
      <c r="G34" s="512"/>
      <c r="H34" s="512"/>
      <c r="I34" s="512"/>
      <c r="J34" s="512"/>
      <c r="AF34" s="530">
        <v>6</v>
      </c>
      <c r="AG34" s="531">
        <v>5</v>
      </c>
      <c r="AH34" s="532"/>
    </row>
    <row r="35" spans="1:38">
      <c r="AF35" s="533">
        <f>$O$15</f>
        <v>330</v>
      </c>
      <c r="AG35" s="534">
        <f>((AF35*
IF(OR(ISTEXT(AG44),AG44&lt;5),0.52,
  IF(AG44&lt;50,MAX(-0.0014*AG44+0.46,0.39),
    IF(AG44&lt;=100,(-0.0014*AG44+0.45),0.31)))*(0.6957*AG34^-0.088)/(AH35*80/2)))</f>
        <v>9.2514946884048668E-2</v>
      </c>
      <c r="AH35" s="535">
        <f>$O$14</f>
        <v>28</v>
      </c>
    </row>
    <row r="36" spans="1:38" ht="15.6" thickBot="1">
      <c r="F36" s="455" t="s">
        <v>422</v>
      </c>
      <c r="AF36" s="536">
        <f>Masinad!$D$28</f>
        <v>222</v>
      </c>
      <c r="AG36" s="537">
        <f>$AF$36*0.53*(0.6957*$AG$34^-0.095)</f>
        <v>70.250383108623964</v>
      </c>
      <c r="AH36" s="538">
        <f>Masinad!$E$28</f>
        <v>470.64000000000004</v>
      </c>
    </row>
    <row r="37" spans="1:38" ht="15.6">
      <c r="F37" s="455" t="s">
        <v>423</v>
      </c>
      <c r="R37" s="539"/>
      <c r="AE37" s="540" t="s">
        <v>424</v>
      </c>
      <c r="AF37" s="541">
        <f>Masinad!$D$86</f>
        <v>82</v>
      </c>
      <c r="AG37" s="537">
        <f>$AF$37*0.53*(0.6957*$AG$34^-0.095)</f>
        <v>25.948339706789032</v>
      </c>
      <c r="AH37" s="538">
        <f>Masinad!$E$86</f>
        <v>267.4390243902439</v>
      </c>
      <c r="AJ37" s="542"/>
      <c r="AK37" s="543">
        <v>5</v>
      </c>
      <c r="AL37" s="544"/>
    </row>
    <row r="38" spans="1:38" ht="21">
      <c r="A38" s="466" t="s">
        <v>21</v>
      </c>
      <c r="B38" s="466" t="s">
        <v>15</v>
      </c>
      <c r="C38" s="467"/>
      <c r="D38" s="467"/>
      <c r="E38" s="487"/>
      <c r="F38" s="455" t="s">
        <v>425</v>
      </c>
      <c r="I38" s="487"/>
      <c r="K38" s="670" t="s">
        <v>462</v>
      </c>
      <c r="AF38" s="545">
        <v>100</v>
      </c>
      <c r="AG38" s="546">
        <f>AC51</f>
        <v>82253.850000000006</v>
      </c>
      <c r="AH38" s="547">
        <f>$AG$38/$AH$37*$AF$38/100</f>
        <v>307.56113543091658</v>
      </c>
      <c r="AJ38" s="536">
        <f>Masinad!$D$28</f>
        <v>222</v>
      </c>
      <c r="AK38" s="537">
        <f>$AJ$38*0.53*(0.6957*$AK$37^-0.095)</f>
        <v>70.250383108623964</v>
      </c>
      <c r="AL38" s="538">
        <f>Masinad!$E$28</f>
        <v>470.64000000000004</v>
      </c>
    </row>
    <row r="39" spans="1:38" ht="16.2" thickBot="1">
      <c r="A39" s="470">
        <v>6</v>
      </c>
      <c r="B39" s="471">
        <v>5</v>
      </c>
      <c r="C39" s="472"/>
      <c r="D39" s="472"/>
      <c r="E39" s="487"/>
      <c r="F39" s="478" t="s">
        <v>426</v>
      </c>
      <c r="G39" s="478" t="s">
        <v>419</v>
      </c>
      <c r="H39" s="478" t="s">
        <v>420</v>
      </c>
      <c r="I39" s="478" t="s">
        <v>421</v>
      </c>
      <c r="AF39" s="548" t="s">
        <v>321</v>
      </c>
      <c r="AH39" s="547">
        <f>AG38/AH36</f>
        <v>174.770206527282</v>
      </c>
      <c r="AI39" s="540" t="s">
        <v>427</v>
      </c>
      <c r="AJ39" s="549"/>
      <c r="AK39" s="537"/>
      <c r="AL39" s="538"/>
    </row>
    <row r="40" spans="1:38" ht="15.6">
      <c r="A40" s="475" t="s">
        <v>428</v>
      </c>
      <c r="B40" s="476"/>
      <c r="C40" s="476"/>
      <c r="D40" s="667"/>
      <c r="E40" s="477">
        <v>1.65</v>
      </c>
      <c r="F40" s="477">
        <v>1.6</v>
      </c>
      <c r="G40" s="477">
        <v>1.3</v>
      </c>
      <c r="H40" s="477">
        <v>1.4</v>
      </c>
      <c r="I40" s="477">
        <v>1.7</v>
      </c>
      <c r="K40" s="550" t="s">
        <v>429</v>
      </c>
      <c r="L40" s="551">
        <v>100000</v>
      </c>
      <c r="M40" s="532"/>
      <c r="O40" s="552"/>
      <c r="P40" s="553"/>
      <c r="Q40" s="553"/>
      <c r="R40" s="532"/>
      <c r="AF40" s="548" t="s">
        <v>430</v>
      </c>
      <c r="AG40" s="554">
        <f>AH40/$L$40</f>
        <v>7.9807008227671714E-2</v>
      </c>
      <c r="AH40" s="555">
        <f>AH38*AG37</f>
        <v>7980.7008227671713</v>
      </c>
      <c r="AJ40" s="548" t="s">
        <v>321</v>
      </c>
      <c r="AL40" s="547">
        <f>AK41/AL38</f>
        <v>174.770206527282</v>
      </c>
    </row>
    <row r="41" spans="1:38">
      <c r="A41" s="556" t="s">
        <v>431</v>
      </c>
      <c r="B41" s="557"/>
      <c r="C41" s="557"/>
      <c r="D41" s="669"/>
      <c r="E41" s="558">
        <v>0.49015898256818247</v>
      </c>
      <c r="F41" s="612">
        <v>0.49015898256818247</v>
      </c>
      <c r="G41" s="612">
        <v>0.49015898256818247</v>
      </c>
      <c r="H41" s="612">
        <v>0.49015898256818247</v>
      </c>
      <c r="I41" s="612">
        <v>0.49015898256818247</v>
      </c>
      <c r="K41" s="559"/>
      <c r="L41" s="503">
        <v>5</v>
      </c>
      <c r="M41" s="560"/>
      <c r="O41" s="561"/>
      <c r="P41" s="562"/>
      <c r="Q41" s="503">
        <v>5</v>
      </c>
      <c r="R41" s="560"/>
      <c r="AF41" s="563" t="s">
        <v>432</v>
      </c>
      <c r="AG41" s="564">
        <f>AH41/$L$40</f>
        <v>0.12277673964514893</v>
      </c>
      <c r="AH41" s="565">
        <f>AH39*AG36</f>
        <v>12277.673964514894</v>
      </c>
      <c r="AJ41" s="566" t="s">
        <v>433</v>
      </c>
      <c r="AK41" s="567">
        <f>AG38</f>
        <v>82253.850000000006</v>
      </c>
      <c r="AL41" s="568"/>
    </row>
    <row r="42" spans="1:38" ht="16.2" thickBot="1">
      <c r="A42" s="482"/>
      <c r="B42" s="569">
        <f>Masinad!$D$13</f>
        <v>224</v>
      </c>
      <c r="C42" s="483">
        <f>Masinad!$E$13</f>
        <v>241.0016</v>
      </c>
      <c r="D42" s="659"/>
      <c r="E42" s="484">
        <f>B42*0.53*(0.6957*$B$39^-0.095)/C42/$E$40</f>
        <v>0.17825424079401533</v>
      </c>
      <c r="F42" s="495">
        <f>E42/$F$40</f>
        <v>0.11140890049625958</v>
      </c>
      <c r="G42" s="495">
        <f>E42/$G$40</f>
        <v>0.13711864676462718</v>
      </c>
      <c r="H42" s="495">
        <f t="shared" ref="H42:H50" si="1">E42</f>
        <v>0.17825424079401533</v>
      </c>
      <c r="I42" s="495">
        <f t="shared" ref="I42:I50" si="2">E42</f>
        <v>0.17825424079401533</v>
      </c>
      <c r="K42" s="569">
        <f>Masinad!$D$13</f>
        <v>224</v>
      </c>
      <c r="L42" s="537">
        <f>$K$42*0.53*(0.6957*$L$41^-0.095)</f>
        <v>70.883269442935884</v>
      </c>
      <c r="M42" s="538">
        <f>Masinad!$E$13</f>
        <v>241.0016</v>
      </c>
      <c r="O42" s="561"/>
      <c r="P42" s="536">
        <f>Masinad!$D$28</f>
        <v>222</v>
      </c>
      <c r="Q42" s="537">
        <f>$P$42*0.53*(0.6957*$Q$41^-0.095)</f>
        <v>70.250383108623964</v>
      </c>
      <c r="R42" s="538">
        <f>Masinad!$E$28</f>
        <v>470.64000000000004</v>
      </c>
      <c r="S42" s="571"/>
      <c r="AF42" s="572"/>
      <c r="AG42" s="573">
        <v>1</v>
      </c>
      <c r="AH42" s="565">
        <f>AG42*AG35*AG38</f>
        <v>7609.7105637585073</v>
      </c>
      <c r="AJ42" s="574" t="s">
        <v>432</v>
      </c>
      <c r="AK42" s="575">
        <f>AL42/$L$40</f>
        <v>0.12277673964514893</v>
      </c>
      <c r="AL42" s="555">
        <f>AK41/AL38*AK38</f>
        <v>12277.673964514894</v>
      </c>
    </row>
    <row r="43" spans="1:38" ht="16.2" thickBot="1">
      <c r="A43" s="490">
        <f>$O$14</f>
        <v>28</v>
      </c>
      <c r="B43" s="491">
        <f>$O$15</f>
        <v>330</v>
      </c>
      <c r="C43" s="492">
        <v>1</v>
      </c>
      <c r="D43" s="665">
        <v>1</v>
      </c>
      <c r="E43" s="494">
        <f>((B43*
IF(OR(ISTEXT(D43),D43&lt;5),0.52,
  IF(D43&lt;50,MAX(-0.0014*D43+0.46,0.39),
    IF(D43&lt;=100,(-0.0014*D43+0.45),0.31)))*(0.6957*$B$39^-0.088)/(A43*80/2)))</f>
        <v>9.2514946884048668E-2</v>
      </c>
      <c r="F43" s="495">
        <f>E43/$F$40</f>
        <v>5.7821841802530416E-2</v>
      </c>
      <c r="G43" s="495"/>
      <c r="H43" s="495">
        <f t="shared" si="1"/>
        <v>9.2514946884048668E-2</v>
      </c>
      <c r="I43" s="495">
        <f t="shared" si="2"/>
        <v>9.2514946884048668E-2</v>
      </c>
      <c r="J43" s="455"/>
      <c r="K43" s="572"/>
      <c r="M43" s="568"/>
      <c r="O43" s="561"/>
      <c r="P43" s="587">
        <f>Masinad!$D$77</f>
        <v>403</v>
      </c>
      <c r="Q43" s="537">
        <f>$P$43*0.53*(0.6957*$Q$41^-0.095)</f>
        <v>127.52659636385341</v>
      </c>
      <c r="R43" s="658">
        <f>Masinad!$E$77</f>
        <v>100.75</v>
      </c>
      <c r="S43" s="571"/>
      <c r="T43" s="542"/>
      <c r="U43" s="531">
        <v>5</v>
      </c>
      <c r="V43" s="544"/>
      <c r="AF43" s="577"/>
      <c r="AG43" s="578"/>
      <c r="AH43" s="579">
        <f>SUM(AH40:AH42)</f>
        <v>27868.085351040572</v>
      </c>
      <c r="AI43" s="580"/>
      <c r="AJ43" s="577"/>
      <c r="AK43" s="578"/>
      <c r="AL43" s="579">
        <f>SUM(AL42)</f>
        <v>12277.673964514894</v>
      </c>
    </row>
    <row r="44" spans="1:38" ht="15.6" thickBot="1">
      <c r="A44" s="482"/>
      <c r="B44" s="569">
        <f>Masinad!$D$13</f>
        <v>224</v>
      </c>
      <c r="C44" s="483">
        <f>Masinad!$E$13</f>
        <v>241.0016</v>
      </c>
      <c r="D44" s="659"/>
      <c r="E44" s="484">
        <f>B44*0.53*(0.6957*$B$39^-0.095)/C44/$E$40</f>
        <v>0.17825424079401533</v>
      </c>
      <c r="F44" s="495">
        <f>E44/$F$40</f>
        <v>0.11140890049625958</v>
      </c>
      <c r="G44" s="495">
        <f>E44/$G$40</f>
        <v>0.13711864676462718</v>
      </c>
      <c r="H44" s="495">
        <f t="shared" si="1"/>
        <v>0.17825424079401533</v>
      </c>
      <c r="I44" s="495">
        <f t="shared" si="2"/>
        <v>0.17825424079401533</v>
      </c>
      <c r="J44" s="455"/>
      <c r="K44" s="572"/>
      <c r="M44" s="568"/>
      <c r="O44" s="561"/>
      <c r="R44" s="568"/>
      <c r="T44" s="536">
        <f>Masinad!$D$28</f>
        <v>222</v>
      </c>
      <c r="U44" s="537">
        <f>$P$42*0.53*(0.6957*$Q$41^-0.095)</f>
        <v>70.250383108623964</v>
      </c>
      <c r="V44" s="538">
        <f>Masinad!$E$28</f>
        <v>470.64000000000004</v>
      </c>
    </row>
    <row r="45" spans="1:38" ht="16.2" thickBot="1">
      <c r="A45" s="482"/>
      <c r="B45" s="587">
        <f>Masinad!$D$77</f>
        <v>403</v>
      </c>
      <c r="C45" s="660">
        <f>Masinad!$E$77</f>
        <v>100.75</v>
      </c>
      <c r="D45" s="659"/>
      <c r="E45" s="484">
        <f>B45*0.53*(0.6957*$B$39^-0.095)/C45</f>
        <v>1.2657726686238553</v>
      </c>
      <c r="F45" s="495">
        <f>E45/$F$40</f>
        <v>0.79110791788990953</v>
      </c>
      <c r="G45" s="495">
        <f>E45/$G$40</f>
        <v>0.97367128355681176</v>
      </c>
      <c r="H45" s="495">
        <f t="shared" si="1"/>
        <v>1.2657726686238553</v>
      </c>
      <c r="I45" s="495">
        <f t="shared" si="2"/>
        <v>1.2657726686238553</v>
      </c>
      <c r="J45" s="455"/>
      <c r="K45" s="581" t="s">
        <v>434</v>
      </c>
      <c r="L45" s="582">
        <f>L40</f>
        <v>100000</v>
      </c>
      <c r="M45" s="583">
        <f>$L$40/$M$42</f>
        <v>414.93500458088243</v>
      </c>
      <c r="N45" s="584" t="s">
        <v>435</v>
      </c>
      <c r="O45" s="548" t="s">
        <v>430</v>
      </c>
      <c r="P45" s="585">
        <f>100-P46</f>
        <v>95</v>
      </c>
      <c r="Q45" s="546">
        <f>$P$45*$L$40/100</f>
        <v>95000</v>
      </c>
      <c r="R45" s="547">
        <f>$L$40/$R$43*$P$45/100</f>
        <v>942.92803970223326</v>
      </c>
      <c r="S45" s="586" t="s">
        <v>436</v>
      </c>
      <c r="T45" s="587">
        <f>Masinad!$D$77</f>
        <v>403</v>
      </c>
      <c r="U45" s="537">
        <f>$T$45*0.53*(0.6957*$U$43^-0.095)</f>
        <v>127.52659636385341</v>
      </c>
      <c r="V45" s="538">
        <f>Masinad!$E$77</f>
        <v>100.75</v>
      </c>
      <c r="X45" s="542"/>
      <c r="Y45" s="543">
        <v>5</v>
      </c>
      <c r="Z45" s="544"/>
    </row>
    <row r="46" spans="1:38" ht="15.6" thickBot="1">
      <c r="A46" s="482"/>
      <c r="B46" s="587">
        <f>Masinad!$D$77</f>
        <v>403</v>
      </c>
      <c r="C46" s="660">
        <f>Masinad!$E$77</f>
        <v>100.75</v>
      </c>
      <c r="D46" s="659"/>
      <c r="E46" s="484">
        <f>B46*0.53*(0.6957*$B$39^-0.095)/C46</f>
        <v>1.2657726686238553</v>
      </c>
      <c r="F46" s="495"/>
      <c r="G46" s="495">
        <f>E46/$G$40</f>
        <v>0.97367128355681176</v>
      </c>
      <c r="H46" s="495">
        <f t="shared" si="1"/>
        <v>1.2657726686238553</v>
      </c>
      <c r="I46" s="495">
        <f t="shared" si="2"/>
        <v>1.2657726686238553</v>
      </c>
      <c r="J46" s="455"/>
      <c r="O46" s="588" t="s">
        <v>437</v>
      </c>
      <c r="P46" s="589">
        <v>5</v>
      </c>
      <c r="Q46" s="546">
        <f>$P$46*$L$40/100</f>
        <v>5000</v>
      </c>
      <c r="R46" s="547">
        <f>$L$40/$R$43*$P$46/100</f>
        <v>49.62779156327543</v>
      </c>
      <c r="S46" s="590"/>
      <c r="T46" s="572"/>
      <c r="V46" s="568"/>
      <c r="X46" s="536">
        <f>Masinad!$D$28</f>
        <v>222</v>
      </c>
      <c r="Y46" s="537">
        <f>$X$46*0.53*(0.6957*$Y$45^-0.095)</f>
        <v>70.250383108623964</v>
      </c>
      <c r="Z46" s="538">
        <f>Masinad!$E$28</f>
        <v>470.64000000000004</v>
      </c>
    </row>
    <row r="47" spans="1:38" ht="15.6">
      <c r="A47" s="482"/>
      <c r="B47" s="593">
        <f>Masinad!$D$86</f>
        <v>82</v>
      </c>
      <c r="C47" s="660">
        <f>Masinad!$E$86</f>
        <v>267.4390243902439</v>
      </c>
      <c r="D47" s="659"/>
      <c r="E47" s="484">
        <f>B47*0.53*(0.6957*$B$39^-0.095)/C47</f>
        <v>9.7025255629580517E-2</v>
      </c>
      <c r="F47" s="495"/>
      <c r="G47" s="495">
        <f>E47/$G$40</f>
        <v>7.4634812022754238E-2</v>
      </c>
      <c r="H47" s="495">
        <f t="shared" si="1"/>
        <v>9.7025255629580517E-2</v>
      </c>
      <c r="I47" s="495">
        <f t="shared" si="2"/>
        <v>9.7025255629580517E-2</v>
      </c>
      <c r="J47" s="455"/>
      <c r="L47" s="591"/>
      <c r="O47" s="572"/>
      <c r="P47" s="592" t="s">
        <v>321</v>
      </c>
      <c r="R47" s="547">
        <f>Q46/R42</f>
        <v>10.623831378548358</v>
      </c>
      <c r="T47" s="545">
        <f>100-T48</f>
        <v>95</v>
      </c>
      <c r="U47" s="546">
        <f>$T$47*$Q$45/100</f>
        <v>90250</v>
      </c>
      <c r="V47" s="547">
        <f>$Q$45/$V$45*$T$47/100</f>
        <v>895.78163771712161</v>
      </c>
      <c r="W47" s="540" t="s">
        <v>438</v>
      </c>
      <c r="X47" s="593">
        <f>Masinad!$D$86</f>
        <v>82</v>
      </c>
      <c r="Y47" s="537">
        <f>$X$47*0.53*(0.6957*$Y$45^-0.095)</f>
        <v>25.948339706789032</v>
      </c>
      <c r="Z47" s="658">
        <f>Masinad!$E$86</f>
        <v>267.4390243902439</v>
      </c>
      <c r="AB47" s="542"/>
      <c r="AC47" s="543">
        <v>5</v>
      </c>
      <c r="AD47" s="544"/>
    </row>
    <row r="48" spans="1:38" ht="15.6" thickBot="1">
      <c r="A48" s="482"/>
      <c r="B48" s="549">
        <f>Masinad!$D$98</f>
        <v>150</v>
      </c>
      <c r="C48" s="483">
        <f>Masinad!$E$98</f>
        <v>100</v>
      </c>
      <c r="D48" s="659"/>
      <c r="E48" s="484">
        <f>B48*$N$12*0.53/C48</f>
        <v>0.318</v>
      </c>
      <c r="F48" s="495"/>
      <c r="G48" s="495">
        <f>E48/$G$40</f>
        <v>0.24461538461538462</v>
      </c>
      <c r="H48" s="495">
        <f t="shared" si="1"/>
        <v>0.318</v>
      </c>
      <c r="I48" s="495">
        <f t="shared" si="2"/>
        <v>0.318</v>
      </c>
      <c r="J48" s="455"/>
      <c r="K48" s="592"/>
      <c r="L48" s="594"/>
      <c r="O48" s="561"/>
      <c r="P48" s="595" t="s">
        <v>430</v>
      </c>
      <c r="Q48" s="554">
        <f>R48/$L$40</f>
        <v>1.2024840351926624</v>
      </c>
      <c r="R48" s="555">
        <f>R45*Q43</f>
        <v>120248.40351926626</v>
      </c>
      <c r="S48" s="596"/>
      <c r="T48" s="597">
        <v>5</v>
      </c>
      <c r="U48" s="546">
        <f>$T$48*$Q$45/100</f>
        <v>4750</v>
      </c>
      <c r="V48" s="547">
        <f>$Q$45/$V$45*$T$48/100</f>
        <v>47.146401985111659</v>
      </c>
      <c r="X48" s="572"/>
      <c r="Z48" s="568"/>
      <c r="AB48" s="536">
        <f>Masinad!$D$28</f>
        <v>222</v>
      </c>
      <c r="AC48" s="537">
        <f>$AB$48*0.53*(0.6957*$AC$47^-0.095)</f>
        <v>70.250383108623964</v>
      </c>
      <c r="AD48" s="538">
        <f>Masinad!$E$28</f>
        <v>470.64000000000004</v>
      </c>
    </row>
    <row r="49" spans="1:34" ht="15.6">
      <c r="A49" s="482"/>
      <c r="B49" s="541">
        <f>Masinad!$D$86</f>
        <v>82</v>
      </c>
      <c r="C49" s="660">
        <f>Masinad!$E$86</f>
        <v>267.4390243902439</v>
      </c>
      <c r="D49" s="659"/>
      <c r="E49" s="484">
        <f>B49*0.53*(0.6957*$B$39^-0.095)/C49</f>
        <v>9.7025255629580517E-2</v>
      </c>
      <c r="F49" s="495"/>
      <c r="G49" s="495"/>
      <c r="H49" s="495">
        <f t="shared" si="1"/>
        <v>9.7025255629580517E-2</v>
      </c>
      <c r="I49" s="495">
        <f t="shared" si="2"/>
        <v>9.7025255629580517E-2</v>
      </c>
      <c r="J49" s="455"/>
      <c r="O49" s="561"/>
      <c r="P49" s="598" t="s">
        <v>437</v>
      </c>
      <c r="Q49" s="599">
        <f>R49/$L$40</f>
        <v>6.3288633431192759E-2</v>
      </c>
      <c r="R49" s="565">
        <f>R46*Q43</f>
        <v>6328.8633431192757</v>
      </c>
      <c r="S49" s="600"/>
      <c r="T49" s="548" t="s">
        <v>321</v>
      </c>
      <c r="V49" s="547">
        <f>U48/V44</f>
        <v>10.092639809620941</v>
      </c>
      <c r="X49" s="545">
        <f>100-X50</f>
        <v>93</v>
      </c>
      <c r="Y49" s="546">
        <f>$X$49*$U$47/100</f>
        <v>83932.5</v>
      </c>
      <c r="Z49" s="547">
        <f>$U$47/$Z$47*$X$49/100</f>
        <v>313.83789329685368</v>
      </c>
      <c r="AA49" s="540" t="s">
        <v>439</v>
      </c>
      <c r="AB49" s="549">
        <f>Masinad!$D$98</f>
        <v>150</v>
      </c>
      <c r="AC49" s="537">
        <f>$AB$49*0.53*(0.6957*$AC$47^-0.095)</f>
        <v>47.46647507339457</v>
      </c>
      <c r="AD49" s="538">
        <f>Masinad!$E$98</f>
        <v>100</v>
      </c>
      <c r="AF49" s="542"/>
      <c r="AG49" s="531">
        <v>5</v>
      </c>
      <c r="AH49" s="544"/>
    </row>
    <row r="50" spans="1:34">
      <c r="A50" s="482"/>
      <c r="B50" s="536">
        <f>Masinad!$D$28</f>
        <v>222</v>
      </c>
      <c r="C50" s="483">
        <f>Masinad!$E$28*$E$78</f>
        <v>705.96</v>
      </c>
      <c r="D50" s="659"/>
      <c r="E50" s="484">
        <f>P42*0.53*(0.6957*$B$39^-0.095)/C50/$E$40</f>
        <v>6.0309351468641852E-2</v>
      </c>
      <c r="F50" s="495">
        <f>E50/$F$40</f>
        <v>3.7693344667901155E-2</v>
      </c>
      <c r="G50" s="495">
        <f>E50/$G$40</f>
        <v>4.6391808822032192E-2</v>
      </c>
      <c r="H50" s="495">
        <f t="shared" si="1"/>
        <v>6.0309351468641852E-2</v>
      </c>
      <c r="I50" s="495">
        <f t="shared" si="2"/>
        <v>6.0309351468641852E-2</v>
      </c>
      <c r="J50" s="455"/>
      <c r="O50" s="561"/>
      <c r="P50" s="601" t="s">
        <v>432</v>
      </c>
      <c r="Q50" s="564">
        <f>R50/$L$40</f>
        <v>7.4632822442444284E-3</v>
      </c>
      <c r="R50" s="565">
        <f>R47*Q42</f>
        <v>746.32822442444285</v>
      </c>
      <c r="S50" s="600"/>
      <c r="T50" s="602" t="s">
        <v>430</v>
      </c>
      <c r="U50" s="554">
        <f>V50/$L$40</f>
        <v>1.1423598334330294</v>
      </c>
      <c r="V50" s="555">
        <f>V47*U45</f>
        <v>114235.98334330294</v>
      </c>
      <c r="X50" s="597">
        <v>7</v>
      </c>
      <c r="Y50" s="546">
        <f>$X$50*$U$47/100</f>
        <v>6317.5</v>
      </c>
      <c r="Z50" s="547">
        <f>$U$47/$Z$47*$X$50/100</f>
        <v>23.622207022343822</v>
      </c>
      <c r="AB50" s="572"/>
      <c r="AD50" s="568"/>
      <c r="AF50" s="536">
        <f>Masinad!$D$28</f>
        <v>222</v>
      </c>
      <c r="AG50" s="537">
        <f>$AF$50*0.53*(0.6957*$AG$49^-0.095)</f>
        <v>70.250383108623964</v>
      </c>
      <c r="AH50" s="538">
        <f>Masinad!$E$28</f>
        <v>470.64000000000004</v>
      </c>
    </row>
    <row r="51" spans="1:34" ht="16.2" thickBot="1">
      <c r="A51" s="506"/>
      <c r="B51" s="487"/>
      <c r="C51" s="487"/>
      <c r="D51" s="487"/>
      <c r="E51" s="603" t="s">
        <v>440</v>
      </c>
      <c r="F51" s="508">
        <f t="shared" ref="F51" si="3">SUM(F41:F50)</f>
        <v>1.5995998879210427</v>
      </c>
      <c r="G51" s="508">
        <f>SUM(G41:G50)</f>
        <v>3.0773808486712317</v>
      </c>
      <c r="H51" s="508">
        <f>SUM(H41:H50)</f>
        <v>4.0430876110157747</v>
      </c>
      <c r="I51" s="508">
        <f>SUM(I41:I50)</f>
        <v>4.0430876110157747</v>
      </c>
      <c r="J51" s="455"/>
      <c r="O51" s="577"/>
      <c r="P51" s="578"/>
      <c r="Q51" s="578"/>
      <c r="R51" s="579">
        <f>SUM(R48:R50)</f>
        <v>127323.59508680998</v>
      </c>
      <c r="S51" s="604"/>
      <c r="T51" s="588" t="s">
        <v>437</v>
      </c>
      <c r="U51" s="599">
        <f>V51/$L$40</f>
        <v>6.0124201759633115E-2</v>
      </c>
      <c r="V51" s="565">
        <f>V48*U45</f>
        <v>6012.4201759633115</v>
      </c>
      <c r="X51" s="548" t="s">
        <v>321</v>
      </c>
      <c r="Z51" s="547">
        <f>Y50/Z46</f>
        <v>13.423210946795852</v>
      </c>
      <c r="AB51" s="545">
        <f>100-AB52</f>
        <v>98</v>
      </c>
      <c r="AC51" s="546">
        <f>$AB$51*$Y$49/100</f>
        <v>82253.850000000006</v>
      </c>
      <c r="AD51" s="547">
        <f>$Y$49/$AD$49*$AB$51/100</f>
        <v>822.53850000000011</v>
      </c>
      <c r="AE51" s="540" t="s">
        <v>427</v>
      </c>
      <c r="AF51" s="549"/>
      <c r="AG51" s="537"/>
      <c r="AH51" s="538"/>
    </row>
    <row r="52" spans="1:34" ht="15.6">
      <c r="E52" s="603" t="s">
        <v>441</v>
      </c>
      <c r="F52" s="605">
        <f>N77+F41</f>
        <v>3.0009120624390029</v>
      </c>
      <c r="G52" s="605">
        <f>N66+G41</f>
        <v>3.4855312969479466</v>
      </c>
      <c r="H52" s="605">
        <f>N71+H41</f>
        <v>3.7362691747803263</v>
      </c>
      <c r="I52" s="605">
        <f>F52</f>
        <v>3.0009120624390029</v>
      </c>
      <c r="J52" s="455"/>
      <c r="T52" s="563" t="s">
        <v>432</v>
      </c>
      <c r="U52" s="564">
        <f>V52/$L$40</f>
        <v>7.0901181320322075E-3</v>
      </c>
      <c r="V52" s="565">
        <f>V49*U44</f>
        <v>709.01181320322075</v>
      </c>
      <c r="X52" s="602" t="s">
        <v>430</v>
      </c>
      <c r="Y52" s="554">
        <f>Z52/$L$40</f>
        <v>8.1435722681297673E-2</v>
      </c>
      <c r="Z52" s="555">
        <f>Z49*Y47</f>
        <v>8143.5722681297675</v>
      </c>
      <c r="AB52" s="597">
        <v>2</v>
      </c>
      <c r="AC52" s="546">
        <f>$AB$52*$Y$49/100</f>
        <v>1678.65</v>
      </c>
      <c r="AD52" s="547">
        <f>$Y$49/$AD$49*$AB$52/100</f>
        <v>16.7865</v>
      </c>
      <c r="AF52" s="548" t="s">
        <v>321</v>
      </c>
      <c r="AH52" s="547">
        <f>AG53/AH50</f>
        <v>174.770206527282</v>
      </c>
    </row>
    <row r="53" spans="1:34" ht="16.2" thickBot="1">
      <c r="E53" s="511"/>
      <c r="F53" s="512"/>
      <c r="G53" s="512"/>
      <c r="H53" s="512"/>
      <c r="I53" s="512"/>
      <c r="Q53" s="580"/>
      <c r="T53" s="577"/>
      <c r="U53" s="578"/>
      <c r="V53" s="579">
        <f>SUM(V50:V52)</f>
        <v>120957.41533246948</v>
      </c>
      <c r="X53" s="588" t="s">
        <v>437</v>
      </c>
      <c r="Y53" s="599">
        <f>Z53/$L$40</f>
        <v>6.1295705243987492E-3</v>
      </c>
      <c r="Z53" s="565">
        <f>Z50*Y47</f>
        <v>612.95705243987493</v>
      </c>
      <c r="AB53" s="548" t="s">
        <v>321</v>
      </c>
      <c r="AD53" s="547">
        <f>AC52/AD48</f>
        <v>3.5667389087200405</v>
      </c>
      <c r="AF53" s="566" t="s">
        <v>433</v>
      </c>
      <c r="AG53" s="567">
        <f>AC51</f>
        <v>82253.850000000006</v>
      </c>
      <c r="AH53" s="568"/>
    </row>
    <row r="54" spans="1:34">
      <c r="X54" s="563" t="s">
        <v>432</v>
      </c>
      <c r="Y54" s="564">
        <f>Z54/$L$40</f>
        <v>9.4298571156028362E-3</v>
      </c>
      <c r="Z54" s="565">
        <f>Y50/Z46*Y46</f>
        <v>942.98571156028356</v>
      </c>
      <c r="AB54" s="602" t="s">
        <v>430</v>
      </c>
      <c r="AC54" s="554">
        <f>AD54/$L$40</f>
        <v>0.39043003207157367</v>
      </c>
      <c r="AD54" s="555">
        <f>AD51*AC49</f>
        <v>39043.003207157366</v>
      </c>
      <c r="AF54" s="574" t="s">
        <v>432</v>
      </c>
      <c r="AG54" s="575">
        <f>AH54/$L$40</f>
        <v>0.12277673964514893</v>
      </c>
      <c r="AH54" s="555">
        <f>AH52*AG50</f>
        <v>12277.673964514894</v>
      </c>
    </row>
    <row r="55" spans="1:34" ht="16.2" thickBot="1">
      <c r="F55" s="455" t="s">
        <v>422</v>
      </c>
      <c r="X55" s="577"/>
      <c r="Y55" s="578"/>
      <c r="Z55" s="579">
        <f>SUM(Z52:Z54)</f>
        <v>9699.5150321299261</v>
      </c>
      <c r="AB55" s="588" t="s">
        <v>437</v>
      </c>
      <c r="AC55" s="599">
        <f>AD55/$L$40</f>
        <v>7.9679598381953796E-3</v>
      </c>
      <c r="AD55" s="565">
        <f>AD52*AC49</f>
        <v>796.79598381953792</v>
      </c>
      <c r="AF55" s="577"/>
      <c r="AG55" s="578"/>
      <c r="AH55" s="579">
        <f>SUM(AH54)</f>
        <v>12277.673964514894</v>
      </c>
    </row>
    <row r="56" spans="1:34" ht="15.6">
      <c r="F56" s="606" t="s">
        <v>423</v>
      </c>
      <c r="G56" s="606"/>
      <c r="Z56" s="604"/>
      <c r="AB56" s="563" t="s">
        <v>432</v>
      </c>
      <c r="AC56" s="564">
        <f>AD56/$L$40</f>
        <v>2.5056477478601819E-3</v>
      </c>
      <c r="AD56" s="565">
        <f>AD53*AC48</f>
        <v>250.56477478601821</v>
      </c>
    </row>
    <row r="57" spans="1:34" ht="16.2" thickBot="1">
      <c r="A57" s="466" t="s">
        <v>21</v>
      </c>
      <c r="B57" s="466" t="s">
        <v>15</v>
      </c>
      <c r="C57" s="467"/>
      <c r="D57" s="467"/>
      <c r="E57" s="487"/>
      <c r="F57" s="455" t="s">
        <v>425</v>
      </c>
      <c r="I57" s="487"/>
      <c r="R57" s="580"/>
      <c r="S57" s="580"/>
      <c r="AB57" s="577"/>
      <c r="AC57" s="578"/>
      <c r="AD57" s="579">
        <f>SUM(AD54:AD56)</f>
        <v>40090.363965762925</v>
      </c>
    </row>
    <row r="58" spans="1:34" ht="16.2" thickBot="1">
      <c r="A58" s="470">
        <v>6</v>
      </c>
      <c r="B58" s="471">
        <v>5</v>
      </c>
      <c r="C58" s="472"/>
      <c r="D58" s="472"/>
      <c r="E58" s="487"/>
      <c r="F58" s="478" t="s">
        <v>418</v>
      </c>
      <c r="G58" s="478" t="s">
        <v>419</v>
      </c>
      <c r="H58" s="478" t="s">
        <v>420</v>
      </c>
      <c r="I58" s="478" t="s">
        <v>421</v>
      </c>
      <c r="K58" s="607" t="s">
        <v>442</v>
      </c>
      <c r="L58" s="608">
        <f>AC65</f>
        <v>1774.615</v>
      </c>
      <c r="M58" s="609">
        <f>AD68+AD69+AD70</f>
        <v>2794.2975678025778</v>
      </c>
      <c r="N58" s="610">
        <f>M58/L40</f>
        <v>2.7942975678025776E-2</v>
      </c>
      <c r="O58" s="457" t="s">
        <v>443</v>
      </c>
    </row>
    <row r="59" spans="1:34" ht="15.6">
      <c r="A59" s="475" t="s">
        <v>444</v>
      </c>
      <c r="B59" s="476" t="s">
        <v>3</v>
      </c>
      <c r="C59" s="476"/>
      <c r="D59" s="476"/>
      <c r="E59" s="477">
        <v>1.65</v>
      </c>
      <c r="F59" s="477">
        <v>1.6</v>
      </c>
      <c r="G59" s="477">
        <v>1.3</v>
      </c>
      <c r="H59" s="477">
        <v>1.4</v>
      </c>
      <c r="I59" s="477">
        <v>1.7</v>
      </c>
      <c r="K59" s="598" t="s">
        <v>445</v>
      </c>
      <c r="L59" s="546">
        <f>Q46+U48+Y50+AC52</f>
        <v>17746.150000000001</v>
      </c>
      <c r="M59" s="604">
        <f>R49+R50+V51+V52+Z53+Z54+AD55+AD56</f>
        <v>16399.927079315963</v>
      </c>
      <c r="N59" s="611">
        <f>M59/L40</f>
        <v>0.16399927079315962</v>
      </c>
      <c r="AB59" s="530">
        <v>6</v>
      </c>
      <c r="AC59" s="531">
        <v>5</v>
      </c>
      <c r="AD59" s="544"/>
    </row>
    <row r="60" spans="1:34">
      <c r="A60" s="556" t="s">
        <v>431</v>
      </c>
      <c r="B60" s="502"/>
      <c r="C60" s="502"/>
      <c r="D60" s="502"/>
      <c r="E60" s="558">
        <v>0.49015898256818247</v>
      </c>
      <c r="F60" s="612">
        <v>0.49015898256818247</v>
      </c>
      <c r="G60" s="612">
        <v>0.49015898256818247</v>
      </c>
      <c r="H60" s="612">
        <v>0.49015898256818247</v>
      </c>
      <c r="I60" s="612">
        <v>0.49015898256818247</v>
      </c>
      <c r="L60" s="458" t="s">
        <v>446</v>
      </c>
      <c r="M60" s="596">
        <f>M66+M67</f>
        <v>330423.64096032811</v>
      </c>
      <c r="N60" s="613">
        <f>E60</f>
        <v>0.49015898256818247</v>
      </c>
      <c r="AB60" s="533">
        <f>$O$15</f>
        <v>330</v>
      </c>
      <c r="AC60" s="534">
        <f>((AB60*
IF(OR(ISTEXT(AC70),AC70&lt;5),0.52,
  IF(AC70&lt;50,MAX(-0.0014*AC70+0.46,0.39),
    IF(AC70&lt;=100,(-0.0014*AC70+0.45),0.31)))*(0.6957*AC59^-0.088)/(AD60*80/2)))</f>
        <v>7.9349358289010977E-2</v>
      </c>
      <c r="AD60" s="535">
        <f>$O$14</f>
        <v>28</v>
      </c>
    </row>
    <row r="61" spans="1:34" ht="16.2" thickBot="1">
      <c r="A61" s="482"/>
      <c r="B61" s="569">
        <f>Masinad!$D$13</f>
        <v>224</v>
      </c>
      <c r="C61" s="483">
        <f>Masinad!$E$13</f>
        <v>241.0016</v>
      </c>
      <c r="D61" s="483"/>
      <c r="E61" s="484">
        <f>B61*0.53*(0.6957*$B$58^-0.095)/C61</f>
        <v>0.29411949731012527</v>
      </c>
      <c r="F61" s="495">
        <f>E61</f>
        <v>0.29411949731012527</v>
      </c>
      <c r="G61" s="495">
        <f t="shared" ref="G61:G67" si="4">E61</f>
        <v>0.29411949731012527</v>
      </c>
      <c r="H61" s="495">
        <f t="shared" ref="H61:H69" si="5">E61</f>
        <v>0.29411949731012527</v>
      </c>
      <c r="I61" s="495">
        <f t="shared" ref="I61:I69" si="6">E61</f>
        <v>0.29411949731012527</v>
      </c>
      <c r="K61" s="592" t="s">
        <v>447</v>
      </c>
      <c r="L61" s="546">
        <f>L66+L59</f>
        <v>100000</v>
      </c>
      <c r="M61" s="614">
        <f>R51+V53+Z55+AD57+AH55+AD71+AH68</f>
        <v>330423.64096032811</v>
      </c>
      <c r="N61" s="611">
        <f>M61/L40</f>
        <v>3.304236409603281</v>
      </c>
      <c r="O61" s="615" t="s">
        <v>448</v>
      </c>
      <c r="AB61" s="536">
        <f>Masinad!$D$28</f>
        <v>222</v>
      </c>
      <c r="AC61" s="537">
        <f>$AB$61*0.53*(0.6957*$AC$59^-0.095)</f>
        <v>70.250383108623964</v>
      </c>
      <c r="AD61" s="538">
        <f>Masinad!$E$28</f>
        <v>470.64000000000004</v>
      </c>
    </row>
    <row r="62" spans="1:34" ht="15.6">
      <c r="A62" s="490">
        <f>$O$14</f>
        <v>28</v>
      </c>
      <c r="B62" s="491">
        <f>$O$15</f>
        <v>330</v>
      </c>
      <c r="C62" s="492">
        <v>1</v>
      </c>
      <c r="D62" s="493">
        <v>1</v>
      </c>
      <c r="E62" s="494">
        <f>((B62*
IF(OR(ISTEXT(D62),D62&lt;5),0.52,
  IF(D62&lt;50,MAX(-0.0014*D62+0.46,0.39),
    IF(D62&lt;=100,(-0.0014*D62+0.45),0.31)))*(0.6957*$B$58^-0.088)/(A62*80/2)))</f>
        <v>9.2514946884048668E-2</v>
      </c>
      <c r="F62" s="495">
        <f>E62</f>
        <v>9.2514946884048668E-2</v>
      </c>
      <c r="G62" s="495">
        <f t="shared" si="4"/>
        <v>9.2514946884048668E-2</v>
      </c>
      <c r="H62" s="495">
        <f t="shared" si="5"/>
        <v>9.2514946884048668E-2</v>
      </c>
      <c r="I62" s="495">
        <f t="shared" si="6"/>
        <v>9.2514946884048668E-2</v>
      </c>
      <c r="L62" s="458" t="s">
        <v>449</v>
      </c>
      <c r="N62" s="616">
        <f>G73</f>
        <v>7.8</v>
      </c>
      <c r="AA62" s="617" t="s">
        <v>450</v>
      </c>
      <c r="AB62" s="549">
        <f>Masinad!$D$98</f>
        <v>150</v>
      </c>
      <c r="AC62" s="537">
        <f>$AB$62*0.53*(0.6957*$AC$59^-0.095)</f>
        <v>47.46647507339457</v>
      </c>
      <c r="AD62" s="538">
        <f>Masinad!$E$98</f>
        <v>100</v>
      </c>
      <c r="AF62" s="542"/>
      <c r="AG62" s="543">
        <v>5</v>
      </c>
      <c r="AH62" s="544"/>
    </row>
    <row r="63" spans="1:34">
      <c r="A63" s="482"/>
      <c r="B63" s="569">
        <f>Masinad!$D$13</f>
        <v>224</v>
      </c>
      <c r="C63" s="483">
        <f>Masinad!$E$13</f>
        <v>241.0016</v>
      </c>
      <c r="D63" s="483"/>
      <c r="E63" s="484">
        <f>B63*0.53*(0.6957*$B$58^-0.095)/C63</f>
        <v>0.29411949731012527</v>
      </c>
      <c r="F63" s="495">
        <f>E63</f>
        <v>0.29411949731012527</v>
      </c>
      <c r="G63" s="495">
        <f t="shared" si="4"/>
        <v>0.29411949731012527</v>
      </c>
      <c r="H63" s="495">
        <f t="shared" si="5"/>
        <v>0.29411949731012527</v>
      </c>
      <c r="I63" s="495">
        <f t="shared" si="6"/>
        <v>0.29411949731012527</v>
      </c>
      <c r="L63" s="618" t="s">
        <v>447</v>
      </c>
      <c r="M63" s="596">
        <f>M60-M61</f>
        <v>0</v>
      </c>
      <c r="AB63" s="572"/>
      <c r="AD63" s="568"/>
      <c r="AF63" s="536">
        <f>Masinad!$D$28</f>
        <v>222</v>
      </c>
      <c r="AG63" s="537">
        <f>$AF$63*0.53*(0.6957*$AG$62^-0.095)</f>
        <v>70.250383108623964</v>
      </c>
      <c r="AH63" s="538">
        <f>Masinad!$E$28</f>
        <v>470.64000000000004</v>
      </c>
    </row>
    <row r="64" spans="1:34" ht="15.6">
      <c r="A64" s="482"/>
      <c r="B64" s="587">
        <f>Masinad!$D$77</f>
        <v>403</v>
      </c>
      <c r="C64" s="660">
        <f>Masinad!$E$77</f>
        <v>100.75</v>
      </c>
      <c r="D64" s="483"/>
      <c r="E64" s="484">
        <f>B64*0.53*(0.6957*$B$58^-0.095)/C64</f>
        <v>1.2657726686238553</v>
      </c>
      <c r="F64" s="495">
        <f>E64</f>
        <v>1.2657726686238553</v>
      </c>
      <c r="G64" s="495">
        <f t="shared" si="4"/>
        <v>1.2657726686238553</v>
      </c>
      <c r="H64" s="495">
        <f t="shared" si="5"/>
        <v>1.2657726686238553</v>
      </c>
      <c r="I64" s="495">
        <f t="shared" si="6"/>
        <v>1.2657726686238553</v>
      </c>
      <c r="AB64" s="545">
        <f>100-AB65</f>
        <v>90</v>
      </c>
      <c r="AC64" s="546">
        <f>$AB$64*$L$59/100</f>
        <v>15971.535000000002</v>
      </c>
      <c r="AD64" s="547">
        <f>$U$47/$Z$47*$X$49/100</f>
        <v>313.83789329685368</v>
      </c>
      <c r="AE64" s="540" t="s">
        <v>427</v>
      </c>
      <c r="AF64" s="549"/>
      <c r="AG64" s="537"/>
      <c r="AH64" s="538"/>
    </row>
    <row r="65" spans="1:34" ht="16.2" thickBot="1">
      <c r="A65" s="482"/>
      <c r="B65" s="587">
        <f>Masinad!$D$77</f>
        <v>403</v>
      </c>
      <c r="C65" s="660">
        <f>Masinad!$E$77</f>
        <v>100.75</v>
      </c>
      <c r="D65" s="483"/>
      <c r="E65" s="484">
        <f>B65*0.53*(0.6957*$B$58^-0.095)/C65</f>
        <v>1.2657726686238553</v>
      </c>
      <c r="F65" s="495"/>
      <c r="G65" s="495">
        <f t="shared" si="4"/>
        <v>1.2657726686238553</v>
      </c>
      <c r="H65" s="495">
        <f t="shared" si="5"/>
        <v>1.2657726686238553</v>
      </c>
      <c r="I65" s="495">
        <f t="shared" si="6"/>
        <v>1.2657726686238553</v>
      </c>
      <c r="K65" s="584" t="s">
        <v>451</v>
      </c>
      <c r="AA65" s="617" t="s">
        <v>452</v>
      </c>
      <c r="AB65" s="597">
        <v>10</v>
      </c>
      <c r="AC65" s="546">
        <f>$AB$65*$L$59/100</f>
        <v>1774.615</v>
      </c>
      <c r="AD65" s="547">
        <f>$U$47/$Z$47*$X$50/100</f>
        <v>23.622207022343822</v>
      </c>
      <c r="AF65" s="548" t="s">
        <v>321</v>
      </c>
      <c r="AH65" s="547">
        <f>AG66/AH63</f>
        <v>33.935778939316677</v>
      </c>
    </row>
    <row r="66" spans="1:34" ht="15.6">
      <c r="A66" s="482"/>
      <c r="B66" s="593">
        <f>Masinad!$D$86</f>
        <v>82</v>
      </c>
      <c r="C66" s="660">
        <f>Masinad!$E$86</f>
        <v>267.4390243902439</v>
      </c>
      <c r="D66" s="659"/>
      <c r="E66" s="484">
        <f>B66*0.53*(0.6957*$B$58^-0.095)/C66</f>
        <v>9.7025255629580517E-2</v>
      </c>
      <c r="F66" s="495"/>
      <c r="G66" s="495">
        <f t="shared" si="4"/>
        <v>9.7025255629580517E-2</v>
      </c>
      <c r="H66" s="495">
        <f t="shared" si="5"/>
        <v>9.7025255629580517E-2</v>
      </c>
      <c r="I66" s="495">
        <f t="shared" si="6"/>
        <v>9.7025255629580517E-2</v>
      </c>
      <c r="K66" s="619" t="s">
        <v>453</v>
      </c>
      <c r="L66" s="620">
        <f>AC51</f>
        <v>82253.850000000006</v>
      </c>
      <c r="M66" s="621">
        <f>R48+V50+Z52+AD54+AH54+M58</f>
        <v>296742.93387017382</v>
      </c>
      <c r="N66" s="622">
        <f>M66/$L$40+N58</f>
        <v>2.9953723143797641</v>
      </c>
      <c r="O66" s="457" t="s">
        <v>454</v>
      </c>
      <c r="AB66" s="548" t="s">
        <v>321</v>
      </c>
      <c r="AD66" s="547">
        <f>AC65/AD61</f>
        <v>3.7706421043685192</v>
      </c>
      <c r="AF66" s="566" t="s">
        <v>50</v>
      </c>
      <c r="AG66" s="567">
        <f>AC64</f>
        <v>15971.535000000002</v>
      </c>
      <c r="AH66" s="568"/>
    </row>
    <row r="67" spans="1:34" ht="15.6">
      <c r="A67" s="482"/>
      <c r="B67" s="549">
        <f>Masinad!$D$98</f>
        <v>150</v>
      </c>
      <c r="C67" s="483">
        <f>Masinad!$E$98</f>
        <v>100</v>
      </c>
      <c r="D67" s="483"/>
      <c r="E67" s="484">
        <f>B67*B58*0.53/C67</f>
        <v>3.9750000000000001</v>
      </c>
      <c r="F67" s="495"/>
      <c r="G67" s="495">
        <f t="shared" si="4"/>
        <v>3.9750000000000001</v>
      </c>
      <c r="H67" s="495">
        <f t="shared" si="5"/>
        <v>3.9750000000000001</v>
      </c>
      <c r="I67" s="495">
        <f t="shared" si="6"/>
        <v>3.9750000000000001</v>
      </c>
      <c r="K67" s="623" t="s">
        <v>455</v>
      </c>
      <c r="L67" s="624">
        <f>AC64</f>
        <v>15971.535000000002</v>
      </c>
      <c r="M67" s="625">
        <f>M59+AD67+AH67</f>
        <v>33680.707090154305</v>
      </c>
      <c r="N67" s="626">
        <f>M67/$L$40</f>
        <v>0.33680707090154305</v>
      </c>
      <c r="P67" s="580"/>
      <c r="AB67" s="548" t="s">
        <v>430</v>
      </c>
      <c r="AC67" s="554">
        <f>AD67/$L$59</f>
        <v>0.83943720408436584</v>
      </c>
      <c r="AD67" s="555">
        <f>AD64*AC62</f>
        <v>14896.77853926177</v>
      </c>
      <c r="AF67" s="563" t="s">
        <v>432</v>
      </c>
      <c r="AG67" s="564">
        <f>AH67/$L$40</f>
        <v>2.3840014715765693E-2</v>
      </c>
      <c r="AH67" s="565">
        <f>AH65*AG63</f>
        <v>2384.0014715765692</v>
      </c>
    </row>
    <row r="68" spans="1:34" ht="16.2" thickBot="1">
      <c r="A68" s="482"/>
      <c r="B68" s="541">
        <f>Masinad!$D$86</f>
        <v>82</v>
      </c>
      <c r="C68" s="660">
        <f>Masinad!$E$86</f>
        <v>267.4390243902439</v>
      </c>
      <c r="D68" s="659"/>
      <c r="E68" s="484">
        <f>B68*0.53*(0.6957*$B$58^-0.095)/C68</f>
        <v>9.7025255629580517E-2</v>
      </c>
      <c r="F68" s="495"/>
      <c r="G68" s="495"/>
      <c r="H68" s="495">
        <f t="shared" si="5"/>
        <v>9.7025255629580517E-2</v>
      </c>
      <c r="I68" s="495">
        <f t="shared" si="6"/>
        <v>9.7025255629580517E-2</v>
      </c>
      <c r="K68" s="627" t="s">
        <v>456</v>
      </c>
      <c r="L68" s="628">
        <f>L58</f>
        <v>1774.615</v>
      </c>
      <c r="M68" s="578"/>
      <c r="N68" s="629"/>
      <c r="AB68" s="630" t="s">
        <v>456</v>
      </c>
      <c r="AC68" s="631">
        <f>AD68/$L$59</f>
        <v>6.3183445468715696E-2</v>
      </c>
      <c r="AD68" s="565">
        <f>AD65*AC62</f>
        <v>1121.2629008046492</v>
      </c>
      <c r="AF68" s="577"/>
      <c r="AG68" s="578"/>
      <c r="AH68" s="579">
        <f>SUM(AH67)</f>
        <v>2384.0014715765692</v>
      </c>
    </row>
    <row r="69" spans="1:34">
      <c r="A69" s="482"/>
      <c r="B69" s="536">
        <f>Masinad!$D$28</f>
        <v>222</v>
      </c>
      <c r="C69" s="483">
        <f>Masinad!$E$28*$E$78</f>
        <v>705.96</v>
      </c>
      <c r="D69" s="483"/>
      <c r="E69" s="484">
        <f>B69*0.53*(0.6957*$B$58^-0.095)/C69</f>
        <v>9.951042992325905E-2</v>
      </c>
      <c r="F69" s="495">
        <f>E69</f>
        <v>9.951042992325905E-2</v>
      </c>
      <c r="G69" s="495">
        <f>E69</f>
        <v>9.951042992325905E-2</v>
      </c>
      <c r="H69" s="495">
        <f t="shared" si="5"/>
        <v>9.951042992325905E-2</v>
      </c>
      <c r="I69" s="495">
        <f t="shared" si="6"/>
        <v>9.951042992325905E-2</v>
      </c>
      <c r="J69" s="632"/>
      <c r="K69" s="633"/>
      <c r="AB69" s="634" t="s">
        <v>432</v>
      </c>
      <c r="AC69" s="635">
        <f>AD69/$L$59</f>
        <v>1.4926564488488857E-2</v>
      </c>
      <c r="AD69" s="565">
        <f>AD66*AC61</f>
        <v>264.88905239739654</v>
      </c>
    </row>
    <row r="70" spans="1:34" ht="16.2" thickBot="1">
      <c r="E70" s="603" t="s">
        <v>440</v>
      </c>
      <c r="F70" s="508">
        <f>SUM(F60:F69)</f>
        <v>2.5361960226195963</v>
      </c>
      <c r="G70" s="508">
        <f t="shared" ref="G70:I70" si="7">SUM(G60:G69)</f>
        <v>7.873993946873032</v>
      </c>
      <c r="H70" s="508">
        <f t="shared" si="7"/>
        <v>7.9710192025026121</v>
      </c>
      <c r="I70" s="508">
        <f t="shared" si="7"/>
        <v>7.9710192025026121</v>
      </c>
      <c r="K70" s="633"/>
      <c r="AB70" s="636"/>
      <c r="AC70" s="637">
        <v>10</v>
      </c>
      <c r="AD70" s="565">
        <f>AC70*AC60*AC65</f>
        <v>1408.1456146005321</v>
      </c>
    </row>
    <row r="71" spans="1:34" ht="16.2" thickBot="1">
      <c r="E71" s="603" t="s">
        <v>441</v>
      </c>
      <c r="F71" s="605">
        <f>N77+F41</f>
        <v>3.0009120624390029</v>
      </c>
      <c r="G71" s="605">
        <f>N66+G41</f>
        <v>3.4855312969479466</v>
      </c>
      <c r="H71" s="605">
        <f>N71+H41</f>
        <v>3.7362691747803263</v>
      </c>
      <c r="I71" s="605">
        <f>F52</f>
        <v>3.0009120624390029</v>
      </c>
      <c r="K71" s="638" t="s">
        <v>457</v>
      </c>
      <c r="L71" s="620">
        <f>AG38</f>
        <v>82253.850000000006</v>
      </c>
      <c r="M71" s="621">
        <f>AH43+M66</f>
        <v>324611.0192212144</v>
      </c>
      <c r="N71" s="622">
        <f>M71/$L$40</f>
        <v>3.2461101922121438</v>
      </c>
      <c r="O71" s="457" t="s">
        <v>454</v>
      </c>
      <c r="AB71" s="577"/>
      <c r="AC71" s="578"/>
      <c r="AD71" s="579">
        <f>SUM(AD67:AD70)</f>
        <v>17691.076107064349</v>
      </c>
    </row>
    <row r="72" spans="1:34" ht="15.6">
      <c r="A72" s="506"/>
      <c r="B72" s="487"/>
      <c r="C72" s="487"/>
      <c r="D72" s="487"/>
      <c r="E72" s="511"/>
      <c r="F72" s="512"/>
      <c r="G72" s="512"/>
      <c r="H72" s="512"/>
      <c r="I72" s="512"/>
      <c r="K72" s="623" t="s">
        <v>455</v>
      </c>
      <c r="L72" s="624">
        <f>L67</f>
        <v>15971.535000000002</v>
      </c>
      <c r="M72" s="625">
        <f>M67</f>
        <v>33680.707090154305</v>
      </c>
      <c r="N72" s="626">
        <f>N67</f>
        <v>0.33680707090154305</v>
      </c>
    </row>
    <row r="73" spans="1:34" ht="16.2" thickBot="1">
      <c r="A73" s="639" t="s">
        <v>349</v>
      </c>
      <c r="B73" s="640">
        <v>1</v>
      </c>
      <c r="C73" s="641">
        <v>600</v>
      </c>
      <c r="D73" s="642">
        <v>1.2999999999999999E-2</v>
      </c>
      <c r="E73" s="643"/>
      <c r="F73" s="644">
        <f>C73*B73*D73</f>
        <v>7.8</v>
      </c>
      <c r="G73" s="645">
        <f>C73*B73*D73</f>
        <v>7.8</v>
      </c>
      <c r="H73" s="645">
        <f>C73*B73*D73</f>
        <v>7.8</v>
      </c>
      <c r="I73" s="645">
        <f>C73*B73*D73</f>
        <v>7.8</v>
      </c>
      <c r="K73" s="627" t="s">
        <v>456</v>
      </c>
      <c r="L73" s="628">
        <f>L58</f>
        <v>1774.615</v>
      </c>
      <c r="M73" s="578"/>
      <c r="N73" s="629"/>
    </row>
    <row r="74" spans="1:34">
      <c r="K74" s="633"/>
      <c r="AC74" s="528"/>
    </row>
    <row r="75" spans="1:34">
      <c r="K75" s="633"/>
    </row>
    <row r="76" spans="1:34" ht="15.6" thickBot="1">
      <c r="A76" s="466" t="s">
        <v>21</v>
      </c>
      <c r="B76" s="466" t="s">
        <v>15</v>
      </c>
      <c r="C76" s="467"/>
      <c r="D76" s="467"/>
      <c r="E76" s="487"/>
      <c r="F76" s="455" t="s">
        <v>425</v>
      </c>
      <c r="I76" s="487"/>
      <c r="K76" s="633"/>
    </row>
    <row r="77" spans="1:34" ht="15.6">
      <c r="A77" s="470">
        <v>6</v>
      </c>
      <c r="B77" s="471">
        <v>5</v>
      </c>
      <c r="C77" s="472"/>
      <c r="D77" s="472"/>
      <c r="E77" s="487"/>
      <c r="F77" s="478" t="s">
        <v>418</v>
      </c>
      <c r="G77" s="478" t="s">
        <v>419</v>
      </c>
      <c r="H77" s="478" t="s">
        <v>420</v>
      </c>
      <c r="I77" s="478" t="s">
        <v>421</v>
      </c>
      <c r="K77" s="638" t="s">
        <v>458</v>
      </c>
      <c r="L77" s="620">
        <f>U47</f>
        <v>90250</v>
      </c>
      <c r="M77" s="621">
        <f>R51+V53</f>
        <v>248281.01041927945</v>
      </c>
      <c r="N77" s="622">
        <f>M77/L40+N58</f>
        <v>2.5107530798708204</v>
      </c>
      <c r="O77" s="457" t="s">
        <v>454</v>
      </c>
    </row>
    <row r="78" spans="1:34" ht="15.6">
      <c r="A78" s="475" t="s">
        <v>459</v>
      </c>
      <c r="B78" s="476" t="s">
        <v>3</v>
      </c>
      <c r="C78" s="476"/>
      <c r="D78" s="476"/>
      <c r="E78" s="477">
        <v>1.5</v>
      </c>
      <c r="F78" s="477">
        <v>1.6</v>
      </c>
      <c r="G78" s="477">
        <v>1.3</v>
      </c>
      <c r="H78" s="477">
        <v>1.4</v>
      </c>
      <c r="I78" s="477">
        <v>1.7</v>
      </c>
      <c r="K78" s="623" t="s">
        <v>455</v>
      </c>
      <c r="L78" s="624">
        <f>L40-L77</f>
        <v>9750</v>
      </c>
      <c r="M78" s="625">
        <f>L78*(M67/L67)</f>
        <v>20560.759759722809</v>
      </c>
      <c r="N78" s="626">
        <f>N67</f>
        <v>0.33680707090154305</v>
      </c>
    </row>
    <row r="79" spans="1:34" ht="15.6" thickBot="1">
      <c r="A79" s="482"/>
      <c r="B79" s="536">
        <f>Masinad!$D$28</f>
        <v>222</v>
      </c>
      <c r="C79" s="483">
        <f>Masinad!$E$28*$E$78</f>
        <v>705.96</v>
      </c>
      <c r="D79" s="483"/>
      <c r="E79" s="484">
        <f>B79*0.53*(0.6957*$B$77^-0.095)/C79</f>
        <v>9.951042992325905E-2</v>
      </c>
      <c r="F79" s="495">
        <f>E79</f>
        <v>9.951042992325905E-2</v>
      </c>
      <c r="G79" s="495">
        <f>E79</f>
        <v>9.951042992325905E-2</v>
      </c>
      <c r="H79" s="495">
        <f>E79</f>
        <v>9.951042992325905E-2</v>
      </c>
      <c r="I79" s="495">
        <f>E79</f>
        <v>9.951042992325905E-2</v>
      </c>
      <c r="K79" s="627" t="s">
        <v>456</v>
      </c>
      <c r="L79" s="628">
        <f>L78*AB65/100</f>
        <v>975</v>
      </c>
      <c r="M79" s="578"/>
      <c r="N79" s="629"/>
    </row>
    <row r="80" spans="1:34">
      <c r="A80" s="501"/>
      <c r="B80" s="483"/>
      <c r="C80" s="483"/>
      <c r="D80" s="483"/>
      <c r="E80" s="495"/>
      <c r="F80" s="495"/>
      <c r="G80" s="495"/>
      <c r="H80" s="495"/>
      <c r="I80" s="495"/>
    </row>
    <row r="81" spans="1:38" ht="15.6">
      <c r="F81" s="646">
        <f>SUM(F79:F80)</f>
        <v>9.951042992325905E-2</v>
      </c>
      <c r="G81" s="646">
        <f t="shared" ref="G81:I81" si="8">SUM(G79:G80)</f>
        <v>9.951042992325905E-2</v>
      </c>
      <c r="H81" s="646">
        <f t="shared" si="8"/>
        <v>9.951042992325905E-2</v>
      </c>
      <c r="I81" s="646">
        <f t="shared" si="8"/>
        <v>9.951042992325905E-2</v>
      </c>
    </row>
    <row r="84" spans="1:38" s="456" customFormat="1">
      <c r="A84" s="466" t="s">
        <v>21</v>
      </c>
      <c r="B84" s="466" t="s">
        <v>15</v>
      </c>
      <c r="C84" s="467"/>
      <c r="D84" s="467"/>
      <c r="E84" s="455"/>
      <c r="F84" s="455"/>
      <c r="G84" s="455"/>
      <c r="H84" s="455"/>
      <c r="I84" s="455"/>
      <c r="K84" s="457"/>
      <c r="L84" s="458"/>
      <c r="M84" s="457"/>
      <c r="N84" s="514"/>
      <c r="O84" s="457"/>
      <c r="P84" s="457"/>
      <c r="Q84" s="457"/>
      <c r="R84" s="457"/>
      <c r="S84" s="457"/>
      <c r="T84" s="457"/>
      <c r="U84" s="457"/>
      <c r="V84" s="457"/>
      <c r="W84" s="457"/>
      <c r="X84" s="457"/>
      <c r="Y84" s="457"/>
      <c r="Z84" s="457"/>
      <c r="AA84" s="457"/>
      <c r="AB84" s="457"/>
      <c r="AC84" s="457"/>
      <c r="AD84" s="457"/>
      <c r="AE84" s="457"/>
      <c r="AF84" s="457"/>
      <c r="AG84" s="457"/>
      <c r="AH84" s="457"/>
      <c r="AI84" s="457"/>
      <c r="AJ84" s="457"/>
      <c r="AK84" s="457"/>
      <c r="AL84" s="457"/>
    </row>
    <row r="85" spans="1:38" s="456" customFormat="1">
      <c r="A85" s="470">
        <v>6</v>
      </c>
      <c r="B85" s="471">
        <v>5</v>
      </c>
      <c r="C85" s="472"/>
      <c r="D85" s="472"/>
      <c r="E85" s="455"/>
      <c r="F85" s="455"/>
      <c r="G85" s="455"/>
      <c r="H85" s="455"/>
      <c r="I85" s="455"/>
      <c r="K85" s="457"/>
      <c r="L85" s="458"/>
      <c r="M85" s="457"/>
      <c r="N85" s="514"/>
      <c r="O85" s="457"/>
      <c r="P85" s="457"/>
      <c r="Q85" s="457"/>
      <c r="R85" s="457"/>
      <c r="S85" s="457"/>
      <c r="T85" s="457"/>
      <c r="U85" s="457"/>
      <c r="V85" s="457"/>
      <c r="W85" s="457"/>
      <c r="X85" s="457"/>
      <c r="Y85" s="457"/>
      <c r="Z85" s="457"/>
      <c r="AA85" s="457"/>
      <c r="AB85" s="457"/>
      <c r="AC85" s="457"/>
      <c r="AD85" s="457"/>
      <c r="AE85" s="457"/>
      <c r="AF85" s="457"/>
      <c r="AG85" s="457"/>
      <c r="AH85" s="457"/>
      <c r="AI85" s="457"/>
      <c r="AJ85" s="457"/>
      <c r="AK85" s="457"/>
      <c r="AL85" s="457"/>
    </row>
    <row r="86" spans="1:38" s="456" customFormat="1" ht="15.6">
      <c r="A86" s="647" t="s">
        <v>364</v>
      </c>
      <c r="B86" s="477">
        <v>1.6</v>
      </c>
      <c r="C86" s="477"/>
      <c r="D86" s="477"/>
      <c r="E86" s="648"/>
      <c r="F86" s="455"/>
      <c r="G86" s="455"/>
      <c r="H86" s="455"/>
      <c r="I86" s="455"/>
      <c r="K86" s="457"/>
      <c r="L86" s="458"/>
      <c r="M86" s="457"/>
      <c r="N86" s="514"/>
      <c r="O86" s="457"/>
      <c r="P86" s="457"/>
      <c r="Q86" s="457"/>
      <c r="R86" s="457"/>
      <c r="S86" s="457"/>
      <c r="T86" s="457"/>
      <c r="U86" s="457"/>
      <c r="V86" s="457"/>
      <c r="W86" s="457"/>
      <c r="X86" s="457"/>
      <c r="Y86" s="457"/>
      <c r="Z86" s="457"/>
      <c r="AA86" s="457"/>
      <c r="AB86" s="457"/>
      <c r="AC86" s="457"/>
      <c r="AD86" s="457"/>
      <c r="AE86" s="457"/>
      <c r="AF86" s="457"/>
      <c r="AG86" s="457"/>
      <c r="AH86" s="457"/>
      <c r="AI86" s="457"/>
      <c r="AJ86" s="457"/>
      <c r="AK86" s="457"/>
      <c r="AL86" s="457"/>
    </row>
    <row r="87" spans="1:38" s="456" customFormat="1">
      <c r="A87" s="649" t="s">
        <v>460</v>
      </c>
      <c r="B87" s="650"/>
      <c r="C87" s="650"/>
      <c r="D87" s="650"/>
      <c r="E87" s="651">
        <f>I51</f>
        <v>4.0430876110157747</v>
      </c>
      <c r="F87" s="529"/>
      <c r="G87" s="529"/>
      <c r="H87" s="529"/>
      <c r="I87" s="529"/>
      <c r="K87" s="457"/>
      <c r="L87" s="458"/>
      <c r="M87" s="457"/>
      <c r="N87" s="514"/>
      <c r="O87" s="457"/>
      <c r="P87" s="457"/>
      <c r="Q87" s="457"/>
      <c r="R87" s="457"/>
      <c r="S87" s="457"/>
      <c r="T87" s="457"/>
      <c r="U87" s="457"/>
      <c r="V87" s="457"/>
      <c r="W87" s="457"/>
      <c r="X87" s="457"/>
      <c r="Y87" s="457"/>
      <c r="Z87" s="457"/>
      <c r="AA87" s="457"/>
      <c r="AB87" s="457"/>
      <c r="AC87" s="457"/>
      <c r="AD87" s="457"/>
      <c r="AE87" s="457"/>
      <c r="AF87" s="457"/>
      <c r="AG87" s="457"/>
      <c r="AH87" s="457"/>
      <c r="AI87" s="457"/>
      <c r="AJ87" s="457"/>
      <c r="AK87" s="457"/>
      <c r="AL87" s="457"/>
    </row>
    <row r="88" spans="1:38" s="456" customFormat="1">
      <c r="A88" s="490">
        <f>$O$14</f>
        <v>28</v>
      </c>
      <c r="B88" s="491">
        <f>$O$15</f>
        <v>330</v>
      </c>
      <c r="C88" s="492">
        <v>1</v>
      </c>
      <c r="D88" s="493">
        <v>1</v>
      </c>
      <c r="E88" s="494">
        <f>((B88*
IF(OR(ISTEXT(D88),D88&lt;5),0.52,
  IF(D88&lt;50,MAX(-0.0014*D88+0.46,0.39),
    IF(D88&lt;=100,(-0.0014*D88+0.45),0.31)))*(0.6957*$B$85^-0.088)/(A88*80/2)))</f>
        <v>9.2514946884048668E-2</v>
      </c>
      <c r="F88" s="455"/>
      <c r="G88" s="455"/>
      <c r="H88" s="455"/>
      <c r="I88" s="455"/>
      <c r="K88" s="457"/>
      <c r="L88" s="458"/>
      <c r="M88" s="457"/>
      <c r="N88" s="514"/>
      <c r="O88" s="457"/>
      <c r="P88" s="457"/>
      <c r="Q88" s="457"/>
      <c r="R88" s="457"/>
      <c r="S88" s="457"/>
      <c r="T88" s="457"/>
      <c r="U88" s="457"/>
      <c r="V88" s="457"/>
      <c r="W88" s="457"/>
      <c r="X88" s="457"/>
      <c r="Y88" s="457"/>
      <c r="Z88" s="457"/>
      <c r="AA88" s="457"/>
      <c r="AB88" s="457"/>
      <c r="AC88" s="457"/>
      <c r="AD88" s="457"/>
      <c r="AE88" s="457"/>
      <c r="AF88" s="457"/>
      <c r="AG88" s="457"/>
      <c r="AH88" s="457"/>
      <c r="AI88" s="457"/>
      <c r="AJ88" s="457"/>
      <c r="AK88" s="457"/>
      <c r="AL88" s="457"/>
    </row>
    <row r="89" spans="1:38" s="456" customFormat="1">
      <c r="A89" s="482"/>
      <c r="B89" s="587">
        <f>Masinad!$D$77</f>
        <v>403</v>
      </c>
      <c r="C89" s="483">
        <v>15</v>
      </c>
      <c r="D89" s="483"/>
      <c r="E89" s="651">
        <f>B89*$N$12/C89/1000</f>
        <v>1.0746666666666668E-2</v>
      </c>
      <c r="F89" s="455"/>
      <c r="G89" s="455"/>
      <c r="H89" s="455"/>
      <c r="I89" s="455"/>
      <c r="K89" s="457"/>
      <c r="L89" s="458"/>
      <c r="M89" s="457"/>
      <c r="N89" s="514"/>
      <c r="O89" s="457"/>
      <c r="P89" s="457"/>
      <c r="Q89" s="457"/>
      <c r="R89" s="457"/>
      <c r="S89" s="457"/>
      <c r="T89" s="457"/>
      <c r="U89" s="457"/>
      <c r="V89" s="457"/>
      <c r="W89" s="457"/>
      <c r="X89" s="457"/>
      <c r="Y89" s="457"/>
      <c r="Z89" s="457"/>
      <c r="AA89" s="457"/>
      <c r="AB89" s="457"/>
      <c r="AC89" s="457"/>
      <c r="AD89" s="457"/>
      <c r="AE89" s="457"/>
      <c r="AF89" s="457"/>
      <c r="AG89" s="457"/>
      <c r="AH89" s="457"/>
      <c r="AI89" s="457"/>
      <c r="AJ89" s="457"/>
      <c r="AK89" s="457"/>
      <c r="AL89" s="457"/>
    </row>
    <row r="90" spans="1:38" s="456" customFormat="1">
      <c r="A90" s="482" t="s">
        <v>461</v>
      </c>
      <c r="B90" s="652">
        <v>4000</v>
      </c>
      <c r="C90" s="483">
        <v>470</v>
      </c>
      <c r="D90" s="483"/>
      <c r="E90" s="651">
        <f>B90*$N$8/C90/1000</f>
        <v>1.600851063829787E-2</v>
      </c>
      <c r="F90" s="455"/>
      <c r="G90" s="606"/>
      <c r="H90" s="653"/>
      <c r="I90" s="455"/>
      <c r="K90" s="457"/>
      <c r="L90" s="458"/>
      <c r="M90" s="457"/>
      <c r="N90" s="514"/>
      <c r="O90" s="457"/>
      <c r="P90" s="457"/>
      <c r="Q90" s="457"/>
      <c r="R90" s="457"/>
      <c r="S90" s="457"/>
      <c r="T90" s="457"/>
      <c r="U90" s="457"/>
      <c r="V90" s="457"/>
      <c r="W90" s="457"/>
      <c r="X90" s="457"/>
      <c r="Y90" s="457"/>
      <c r="Z90" s="457"/>
      <c r="AA90" s="457"/>
      <c r="AB90" s="457"/>
      <c r="AC90" s="457"/>
      <c r="AD90" s="457"/>
      <c r="AE90" s="457"/>
      <c r="AF90" s="457"/>
      <c r="AG90" s="457"/>
      <c r="AH90" s="457"/>
      <c r="AI90" s="457"/>
      <c r="AJ90" s="457"/>
      <c r="AK90" s="457"/>
      <c r="AL90" s="457"/>
    </row>
    <row r="91" spans="1:38" s="456" customFormat="1">
      <c r="A91" s="482"/>
      <c r="B91" s="536">
        <f>Masinad!$D$28</f>
        <v>222</v>
      </c>
      <c r="C91" s="483">
        <f>Masinad!$E$28*$E$78</f>
        <v>705.96</v>
      </c>
      <c r="D91" s="502"/>
      <c r="E91" s="651">
        <f>B91*0.53*(0.6957*$C$13^-0.095)/C91</f>
        <v>7.0092718378923724E-2</v>
      </c>
      <c r="F91" s="455"/>
      <c r="G91" s="455"/>
      <c r="H91" s="455"/>
      <c r="I91" s="455"/>
      <c r="K91" s="457"/>
      <c r="L91" s="458"/>
      <c r="M91" s="457"/>
      <c r="N91" s="514"/>
      <c r="O91" s="457"/>
      <c r="P91" s="457"/>
      <c r="Q91" s="457"/>
      <c r="R91" s="457"/>
      <c r="S91" s="457"/>
      <c r="T91" s="457"/>
      <c r="U91" s="457"/>
      <c r="V91" s="457"/>
      <c r="W91" s="457"/>
      <c r="X91" s="457"/>
      <c r="Y91" s="457"/>
      <c r="Z91" s="457"/>
      <c r="AA91" s="457"/>
      <c r="AB91" s="457"/>
      <c r="AC91" s="457"/>
      <c r="AD91" s="457"/>
      <c r="AE91" s="457"/>
      <c r="AF91" s="457"/>
      <c r="AG91" s="457"/>
      <c r="AH91" s="457"/>
      <c r="AI91" s="457"/>
      <c r="AJ91" s="457"/>
      <c r="AK91" s="457"/>
      <c r="AL91" s="457"/>
    </row>
    <row r="92" spans="1:38" s="456" customFormat="1" ht="15.6">
      <c r="A92" s="654"/>
      <c r="B92" s="506"/>
      <c r="C92" s="506"/>
      <c r="D92" s="506"/>
      <c r="E92" s="671">
        <f>SUM(E87:E91)</f>
        <v>4.2324504535837129</v>
      </c>
      <c r="F92" s="455"/>
      <c r="G92" s="455"/>
      <c r="H92" s="455"/>
      <c r="I92" s="455"/>
      <c r="K92" s="457"/>
      <c r="L92" s="458"/>
      <c r="M92" s="457"/>
      <c r="N92" s="514"/>
      <c r="O92" s="457"/>
      <c r="P92" s="457"/>
      <c r="Q92" s="457"/>
      <c r="R92" s="457"/>
      <c r="S92" s="457"/>
      <c r="T92" s="457"/>
      <c r="U92" s="457"/>
      <c r="V92" s="457"/>
      <c r="W92" s="457"/>
      <c r="X92" s="457"/>
      <c r="Y92" s="457"/>
      <c r="Z92" s="457"/>
      <c r="AA92" s="457"/>
      <c r="AB92" s="457"/>
      <c r="AC92" s="457"/>
      <c r="AD92" s="457"/>
      <c r="AE92" s="457"/>
      <c r="AF92" s="457"/>
      <c r="AG92" s="457"/>
      <c r="AH92" s="457"/>
      <c r="AI92" s="457"/>
      <c r="AJ92" s="457"/>
      <c r="AK92" s="457"/>
      <c r="AL92" s="457"/>
    </row>
    <row r="97" spans="1:38" s="456" customFormat="1" ht="15.6">
      <c r="A97" s="466" t="s">
        <v>21</v>
      </c>
      <c r="B97" s="466" t="s">
        <v>15</v>
      </c>
      <c r="C97" s="467"/>
      <c r="D97" s="467"/>
      <c r="E97" s="655"/>
      <c r="F97" s="455"/>
      <c r="G97" s="455"/>
      <c r="H97" s="455"/>
      <c r="I97" s="455"/>
      <c r="K97" s="457"/>
      <c r="L97" s="458"/>
      <c r="M97" s="457"/>
      <c r="N97" s="514"/>
      <c r="O97" s="457"/>
      <c r="P97" s="457"/>
      <c r="Q97" s="457"/>
      <c r="R97" s="457"/>
      <c r="S97" s="457"/>
      <c r="T97" s="457"/>
      <c r="U97" s="457"/>
      <c r="V97" s="457"/>
      <c r="W97" s="457"/>
      <c r="X97" s="457"/>
      <c r="Y97" s="457"/>
      <c r="Z97" s="457"/>
      <c r="AA97" s="457"/>
      <c r="AB97" s="457"/>
      <c r="AC97" s="457"/>
      <c r="AD97" s="457"/>
      <c r="AE97" s="457"/>
      <c r="AF97" s="457"/>
      <c r="AG97" s="457"/>
      <c r="AH97" s="457"/>
      <c r="AI97" s="457"/>
      <c r="AJ97" s="457"/>
      <c r="AK97" s="457"/>
      <c r="AL97" s="457"/>
    </row>
    <row r="98" spans="1:38" s="456" customFormat="1">
      <c r="A98" s="470">
        <v>6</v>
      </c>
      <c r="B98" s="471">
        <v>5</v>
      </c>
      <c r="C98" s="472"/>
      <c r="D98" s="472"/>
      <c r="E98" s="506"/>
      <c r="F98" s="455"/>
      <c r="G98" s="455"/>
      <c r="H98" s="455"/>
      <c r="I98" s="455"/>
      <c r="K98" s="457"/>
      <c r="L98" s="458"/>
      <c r="M98" s="457"/>
      <c r="N98" s="514"/>
      <c r="O98" s="457"/>
      <c r="P98" s="457"/>
      <c r="Q98" s="457"/>
      <c r="R98" s="457"/>
      <c r="S98" s="457"/>
      <c r="T98" s="457"/>
      <c r="U98" s="457"/>
      <c r="V98" s="457"/>
      <c r="W98" s="457"/>
      <c r="X98" s="457"/>
      <c r="Y98" s="457"/>
      <c r="Z98" s="457"/>
      <c r="AA98" s="457"/>
      <c r="AB98" s="457"/>
      <c r="AC98" s="457"/>
      <c r="AD98" s="457"/>
      <c r="AE98" s="457"/>
      <c r="AF98" s="457"/>
      <c r="AG98" s="457"/>
      <c r="AH98" s="457"/>
      <c r="AI98" s="457"/>
      <c r="AJ98" s="457"/>
      <c r="AK98" s="457"/>
      <c r="AL98" s="457"/>
    </row>
    <row r="99" spans="1:38" s="456" customFormat="1" ht="15.6">
      <c r="A99" s="647" t="s">
        <v>323</v>
      </c>
      <c r="B99" s="477">
        <v>2.2999999999999998</v>
      </c>
      <c r="C99" s="477"/>
      <c r="D99" s="477"/>
      <c r="E99" s="648">
        <v>1</v>
      </c>
      <c r="F99" s="455"/>
      <c r="G99" s="455"/>
      <c r="H99" s="455"/>
      <c r="I99" s="455"/>
      <c r="K99" s="457"/>
      <c r="L99" s="458"/>
      <c r="M99" s="457"/>
      <c r="N99" s="514"/>
      <c r="O99" s="457"/>
      <c r="P99" s="457"/>
      <c r="Q99" s="457"/>
      <c r="R99" s="457"/>
      <c r="S99" s="457"/>
      <c r="T99" s="457"/>
      <c r="U99" s="457"/>
      <c r="V99" s="457"/>
      <c r="W99" s="457"/>
      <c r="X99" s="457"/>
      <c r="Y99" s="457"/>
      <c r="Z99" s="457"/>
      <c r="AA99" s="457"/>
      <c r="AB99" s="457"/>
      <c r="AC99" s="457"/>
      <c r="AD99" s="457"/>
      <c r="AE99" s="457"/>
      <c r="AF99" s="457"/>
      <c r="AG99" s="457"/>
      <c r="AH99" s="457"/>
      <c r="AI99" s="457"/>
      <c r="AJ99" s="457"/>
      <c r="AK99" s="457"/>
      <c r="AL99" s="457"/>
    </row>
    <row r="100" spans="1:38" s="456" customFormat="1">
      <c r="A100" s="661"/>
      <c r="B100" s="662">
        <f>Masinad!$D$13</f>
        <v>224</v>
      </c>
      <c r="C100" s="483">
        <f>Masinad!$E$13</f>
        <v>241.0016</v>
      </c>
      <c r="D100" s="502"/>
      <c r="E100" s="651">
        <f>B100*0.53*(0.6957*$B$98^-0.095)/C100</f>
        <v>0.29411949731012527</v>
      </c>
      <c r="F100" s="455"/>
      <c r="G100" s="455"/>
      <c r="H100" s="455"/>
      <c r="I100" s="455"/>
      <c r="K100" s="457"/>
      <c r="L100" s="458"/>
      <c r="M100" s="457"/>
      <c r="N100" s="514"/>
      <c r="O100" s="457"/>
      <c r="P100" s="457"/>
      <c r="Q100" s="457"/>
      <c r="R100" s="457"/>
      <c r="S100" s="457"/>
      <c r="T100" s="457"/>
      <c r="U100" s="457"/>
      <c r="V100" s="457"/>
      <c r="W100" s="457"/>
      <c r="X100" s="457"/>
      <c r="Y100" s="457"/>
      <c r="Z100" s="457"/>
      <c r="AA100" s="457"/>
      <c r="AB100" s="457"/>
      <c r="AC100" s="457"/>
      <c r="AD100" s="457"/>
      <c r="AE100" s="457"/>
      <c r="AF100" s="457"/>
      <c r="AG100" s="457"/>
      <c r="AH100" s="457"/>
      <c r="AI100" s="457"/>
      <c r="AJ100" s="457"/>
      <c r="AK100" s="457"/>
      <c r="AL100" s="457"/>
    </row>
    <row r="101" spans="1:38" s="455" customFormat="1">
      <c r="A101" s="661"/>
      <c r="B101" s="576">
        <f>Masinad!$D$77</f>
        <v>403</v>
      </c>
      <c r="C101" s="660">
        <f>Masinad!$E$77</f>
        <v>100.75</v>
      </c>
      <c r="D101" s="659"/>
      <c r="E101" s="651">
        <f>B101*0.53*(0.6957*$B$98^-0.095)/C101</f>
        <v>1.2657726686238553</v>
      </c>
      <c r="J101" s="456"/>
      <c r="K101" s="457"/>
      <c r="L101" s="458"/>
      <c r="M101" s="457"/>
      <c r="N101" s="514"/>
      <c r="O101" s="457"/>
      <c r="P101" s="457"/>
      <c r="Q101" s="457"/>
      <c r="R101" s="457"/>
      <c r="S101" s="457"/>
      <c r="T101" s="457"/>
      <c r="U101" s="457"/>
      <c r="V101" s="457"/>
      <c r="W101" s="457"/>
      <c r="X101" s="457"/>
      <c r="Y101" s="457"/>
      <c r="Z101" s="457"/>
      <c r="AA101" s="457"/>
      <c r="AB101" s="457"/>
      <c r="AC101" s="457"/>
      <c r="AD101" s="457"/>
      <c r="AE101" s="457"/>
      <c r="AF101" s="457"/>
      <c r="AG101" s="457"/>
      <c r="AH101" s="457"/>
      <c r="AI101" s="457"/>
      <c r="AJ101" s="457"/>
      <c r="AK101" s="457"/>
      <c r="AL101" s="457"/>
    </row>
    <row r="102" spans="1:38" s="455" customFormat="1">
      <c r="A102" s="661"/>
      <c r="B102" s="663">
        <f>Masinad!$D$86</f>
        <v>82</v>
      </c>
      <c r="C102" s="660">
        <f>Masinad!$E$86</f>
        <v>267.4390243902439</v>
      </c>
      <c r="D102" s="659"/>
      <c r="E102" s="651">
        <f>B102*0.53*(0.6957*$B$98^-0.095)/C102</f>
        <v>9.7025255629580517E-2</v>
      </c>
      <c r="J102" s="456"/>
      <c r="K102" s="457"/>
      <c r="L102" s="458"/>
      <c r="M102" s="457"/>
      <c r="N102" s="514"/>
      <c r="O102" s="457"/>
      <c r="P102" s="457"/>
      <c r="Q102" s="457"/>
      <c r="R102" s="457"/>
      <c r="S102" s="457"/>
      <c r="T102" s="457"/>
      <c r="U102" s="457"/>
      <c r="V102" s="457"/>
      <c r="W102" s="457"/>
      <c r="X102" s="457"/>
      <c r="Y102" s="457"/>
      <c r="Z102" s="457"/>
      <c r="AA102" s="457"/>
      <c r="AB102" s="457"/>
      <c r="AC102" s="457"/>
      <c r="AD102" s="457"/>
      <c r="AE102" s="457"/>
      <c r="AF102" s="457"/>
      <c r="AG102" s="457"/>
      <c r="AH102" s="457"/>
      <c r="AI102" s="457"/>
      <c r="AJ102" s="457"/>
      <c r="AK102" s="457"/>
      <c r="AL102" s="457"/>
    </row>
    <row r="103" spans="1:38" s="455" customFormat="1">
      <c r="A103" s="661"/>
      <c r="B103" s="570">
        <f>Masinad!$D$28</f>
        <v>222</v>
      </c>
      <c r="C103" s="483">
        <f>Masinad!$E$28*$E$78</f>
        <v>705.96</v>
      </c>
      <c r="D103" s="502"/>
      <c r="E103" s="651">
        <f>B103*0.53*(0.6957*$B$98^-0.095)/C103</f>
        <v>9.951042992325905E-2</v>
      </c>
      <c r="J103" s="456"/>
      <c r="K103" s="457"/>
      <c r="L103" s="458"/>
      <c r="M103" s="457"/>
      <c r="N103" s="514"/>
      <c r="O103" s="457"/>
      <c r="P103" s="457"/>
      <c r="Q103" s="457"/>
      <c r="R103" s="457"/>
      <c r="S103" s="457"/>
      <c r="T103" s="457"/>
      <c r="U103" s="457"/>
      <c r="V103" s="457"/>
      <c r="W103" s="457"/>
      <c r="X103" s="457"/>
      <c r="Y103" s="457"/>
      <c r="Z103" s="457"/>
      <c r="AA103" s="457"/>
      <c r="AB103" s="457"/>
      <c r="AC103" s="457"/>
      <c r="AD103" s="457"/>
      <c r="AE103" s="457"/>
      <c r="AF103" s="457"/>
      <c r="AG103" s="457"/>
      <c r="AH103" s="457"/>
      <c r="AI103" s="457"/>
      <c r="AJ103" s="457"/>
      <c r="AK103" s="457"/>
      <c r="AL103" s="457"/>
    </row>
    <row r="104" spans="1:38" s="455" customFormat="1">
      <c r="A104" s="490">
        <f>$O$14</f>
        <v>28</v>
      </c>
      <c r="B104" s="491">
        <f>$O$15</f>
        <v>330</v>
      </c>
      <c r="C104" s="492">
        <v>1</v>
      </c>
      <c r="D104" s="493">
        <v>1</v>
      </c>
      <c r="E104" s="494">
        <f>((B104*
IF(OR(ISTEXT(D104),D104&lt;5),0.52,
  IF(D104&lt;50,MAX(-0.0014*D104+0.46,0.39),
    IF(D104&lt;=100,(-0.0014*D104+0.45),0.31)))*(0.6957*$B$98^-0.088)/(A104*80/2)))</f>
        <v>9.2514946884048668E-2</v>
      </c>
      <c r="J104" s="456"/>
      <c r="K104" s="457"/>
      <c r="L104" s="458"/>
      <c r="M104" s="457"/>
      <c r="N104" s="514"/>
      <c r="O104" s="457"/>
      <c r="P104" s="457"/>
      <c r="Q104" s="457"/>
      <c r="R104" s="457"/>
      <c r="S104" s="457"/>
      <c r="T104" s="457"/>
      <c r="U104" s="457"/>
      <c r="V104" s="457"/>
      <c r="W104" s="457"/>
      <c r="X104" s="457"/>
      <c r="Y104" s="457"/>
      <c r="Z104" s="457"/>
      <c r="AA104" s="457"/>
      <c r="AB104" s="457"/>
      <c r="AC104" s="457"/>
      <c r="AD104" s="457"/>
      <c r="AE104" s="457"/>
      <c r="AF104" s="457"/>
      <c r="AG104" s="457"/>
      <c r="AH104" s="457"/>
      <c r="AI104" s="457"/>
      <c r="AJ104" s="457"/>
      <c r="AK104" s="457"/>
      <c r="AL104" s="457"/>
    </row>
    <row r="105" spans="1:38" s="455" customFormat="1" ht="15.6">
      <c r="A105" s="487"/>
      <c r="B105" s="487"/>
      <c r="C105" s="487"/>
      <c r="D105" s="487"/>
      <c r="E105" s="671">
        <f>SUM(E100:E104)</f>
        <v>1.8489427983708688</v>
      </c>
      <c r="J105" s="456"/>
      <c r="K105" s="457"/>
      <c r="L105" s="458"/>
      <c r="M105" s="457"/>
      <c r="N105" s="514"/>
      <c r="O105" s="457"/>
      <c r="P105" s="457"/>
      <c r="Q105" s="457"/>
      <c r="R105" s="457"/>
      <c r="S105" s="457"/>
      <c r="T105" s="457"/>
      <c r="U105" s="457"/>
      <c r="V105" s="457"/>
      <c r="W105" s="457"/>
      <c r="X105" s="457"/>
      <c r="Y105" s="457"/>
      <c r="Z105" s="457"/>
      <c r="AA105" s="457"/>
      <c r="AB105" s="457"/>
      <c r="AC105" s="457"/>
      <c r="AD105" s="457"/>
      <c r="AE105" s="457"/>
      <c r="AF105" s="457"/>
      <c r="AG105" s="457"/>
      <c r="AH105" s="457"/>
      <c r="AI105" s="457"/>
      <c r="AJ105" s="457"/>
      <c r="AK105" s="457"/>
      <c r="AL105" s="457"/>
    </row>
    <row r="107" spans="1:38" ht="15.6">
      <c r="A107"/>
    </row>
    <row r="108" spans="1:38" s="455" customFormat="1" ht="15.6">
      <c r="B108" s="656"/>
      <c r="C108" s="656"/>
      <c r="D108" s="656"/>
      <c r="E108" s="657"/>
      <c r="J108" s="456"/>
      <c r="K108" s="457"/>
      <c r="L108" s="458"/>
      <c r="M108" s="457"/>
      <c r="N108" s="514"/>
      <c r="O108" s="457"/>
      <c r="P108" s="457"/>
      <c r="Q108" s="457"/>
      <c r="R108" s="457"/>
      <c r="S108" s="457"/>
      <c r="T108" s="457"/>
      <c r="U108" s="457"/>
      <c r="V108" s="457"/>
      <c r="W108" s="457"/>
      <c r="X108" s="457"/>
      <c r="Y108" s="457"/>
      <c r="Z108" s="457"/>
      <c r="AA108" s="457"/>
      <c r="AB108" s="457"/>
      <c r="AC108" s="457"/>
      <c r="AD108" s="457"/>
      <c r="AE108" s="457"/>
      <c r="AF108" s="457"/>
      <c r="AG108" s="457"/>
      <c r="AH108" s="457"/>
      <c r="AI108" s="457"/>
      <c r="AJ108" s="457"/>
      <c r="AK108" s="457"/>
      <c r="AL108" s="457"/>
    </row>
    <row r="109" spans="1:38" s="455" customFormat="1" ht="15.6">
      <c r="A109"/>
      <c r="B109" s="656"/>
      <c r="C109" s="656"/>
      <c r="D109" s="656"/>
      <c r="E109" s="657"/>
      <c r="J109" s="456"/>
      <c r="K109" s="457"/>
      <c r="L109" s="458"/>
      <c r="M109" s="457"/>
      <c r="N109" s="514"/>
      <c r="O109" s="457"/>
      <c r="P109" s="457"/>
      <c r="Q109" s="457"/>
      <c r="R109" s="457"/>
      <c r="S109" s="457"/>
      <c r="T109" s="457"/>
      <c r="U109" s="457"/>
      <c r="V109" s="457"/>
      <c r="W109" s="457"/>
      <c r="X109" s="457"/>
      <c r="Y109" s="457"/>
      <c r="Z109" s="457"/>
      <c r="AA109" s="457"/>
      <c r="AB109" s="457"/>
      <c r="AC109" s="457"/>
      <c r="AD109" s="457"/>
      <c r="AE109" s="457"/>
      <c r="AF109" s="457"/>
      <c r="AG109" s="457"/>
      <c r="AH109" s="457"/>
      <c r="AI109" s="457"/>
      <c r="AJ109" s="457"/>
      <c r="AK109" s="457"/>
      <c r="AL109" s="457"/>
    </row>
    <row r="110" spans="1:38" s="455" customFormat="1" ht="15.6">
      <c r="B110" s="656"/>
      <c r="C110" s="656"/>
      <c r="D110" s="656"/>
      <c r="E110" s="657"/>
      <c r="J110" s="456"/>
      <c r="K110" s="457"/>
      <c r="L110" s="458"/>
      <c r="M110" s="457"/>
      <c r="N110" s="514"/>
      <c r="O110" s="457"/>
      <c r="P110" s="457"/>
      <c r="Q110" s="457"/>
      <c r="R110" s="457"/>
      <c r="S110" s="457"/>
      <c r="T110" s="457"/>
      <c r="U110" s="457"/>
      <c r="V110" s="457"/>
      <c r="W110" s="457"/>
      <c r="X110" s="457"/>
      <c r="Y110" s="457"/>
      <c r="Z110" s="457"/>
      <c r="AA110" s="457"/>
      <c r="AB110" s="457"/>
      <c r="AC110" s="457"/>
      <c r="AD110" s="457"/>
      <c r="AE110" s="457"/>
      <c r="AF110" s="457"/>
      <c r="AG110" s="457"/>
      <c r="AH110" s="457"/>
      <c r="AI110" s="457"/>
      <c r="AJ110" s="457"/>
      <c r="AK110" s="457"/>
      <c r="AL110" s="457"/>
    </row>
    <row r="111" spans="1:38" s="455" customFormat="1" ht="15.6">
      <c r="A111"/>
      <c r="B111" s="656"/>
      <c r="C111" s="656"/>
      <c r="D111" s="656"/>
      <c r="E111" s="657"/>
      <c r="J111" s="456"/>
      <c r="K111" s="457"/>
      <c r="L111" s="458"/>
      <c r="M111" s="457"/>
      <c r="N111" s="514"/>
      <c r="O111" s="457"/>
      <c r="P111" s="457"/>
      <c r="Q111" s="457"/>
      <c r="R111" s="457"/>
      <c r="S111" s="457"/>
      <c r="T111" s="457"/>
      <c r="U111" s="457"/>
      <c r="V111" s="457"/>
      <c r="W111" s="457"/>
      <c r="X111" s="457"/>
      <c r="Y111" s="457"/>
      <c r="Z111" s="457"/>
      <c r="AA111" s="457"/>
      <c r="AB111" s="457"/>
      <c r="AC111" s="457"/>
      <c r="AD111" s="457"/>
      <c r="AE111" s="457"/>
      <c r="AF111" s="457"/>
      <c r="AG111" s="457"/>
      <c r="AH111" s="457"/>
      <c r="AI111" s="457"/>
      <c r="AJ111" s="457"/>
      <c r="AK111" s="457"/>
      <c r="AL111" s="457"/>
    </row>
    <row r="112" spans="1:38" s="455" customFormat="1" ht="15.6">
      <c r="B112" s="656"/>
      <c r="C112" s="656"/>
      <c r="D112" s="656"/>
      <c r="E112" s="657"/>
      <c r="J112" s="456"/>
      <c r="K112" s="457"/>
      <c r="L112" s="458"/>
      <c r="M112" s="457"/>
      <c r="N112" s="514"/>
      <c r="O112" s="457"/>
      <c r="P112" s="457"/>
      <c r="Q112" s="457"/>
      <c r="R112" s="457"/>
      <c r="S112" s="457"/>
      <c r="T112" s="457"/>
      <c r="U112" s="457"/>
      <c r="V112" s="457"/>
      <c r="W112" s="457"/>
      <c r="X112" s="457"/>
      <c r="Y112" s="457"/>
      <c r="Z112" s="457"/>
      <c r="AA112" s="457"/>
      <c r="AB112" s="457"/>
      <c r="AC112" s="457"/>
      <c r="AD112" s="457"/>
      <c r="AE112" s="457"/>
      <c r="AF112" s="457"/>
      <c r="AG112" s="457"/>
      <c r="AH112" s="457"/>
      <c r="AI112" s="457"/>
      <c r="AJ112" s="457"/>
      <c r="AK112" s="457"/>
      <c r="AL112" s="457"/>
    </row>
    <row r="113" spans="1:1" ht="15.6">
      <c r="A113"/>
    </row>
    <row r="115" spans="1:1" ht="15.6">
      <c r="A115"/>
    </row>
  </sheetData>
  <dataConsolidate/>
  <dataValidations count="3">
    <dataValidation type="list" allowBlank="1" showInputMessage="1" showErrorMessage="1" sqref="E98" xr:uid="{223A3693-8DF5-4924-BA5E-A40FDDCD71B8}">
      <formula1>"diisel,Bensiin,maagaas,palloonigaas"</formula1>
    </dataValidation>
    <dataValidation type="list" allowBlank="1" showInputMessage="1" showErrorMessage="1" sqref="B8:D8 B20:D20 B39:D39 B58:D58 Q41 U43 L41 Y45 AC47 AC59 AG49 AG62 AG34 B77:D77 B85:D85 B98:D98 AK37 M15" xr:uid="{974C9805-90C5-4F42-911C-2581CFF06161}">
      <formula1>"1,2,3,4,5"</formula1>
    </dataValidation>
    <dataValidation type="list" allowBlank="1" showInputMessage="1" showErrorMessage="1" sqref="A8 A20 A39 A58 AB59 AF34 A77 A85 A98 N15" xr:uid="{1BC7DAE3-22B8-40FF-8F9D-0EBE3FB337E6}">
      <formula1>"1,2,3,4,5,6"</formula1>
    </dataValidation>
  </dataValidation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AA3E81-9198-4C00-A7C1-01BF69640CC1}">
  <sheetPr>
    <tabColor rgb="FFFF0000"/>
  </sheetPr>
  <dimension ref="A1:V245"/>
  <sheetViews>
    <sheetView zoomScale="70" zoomScaleNormal="70" workbookViewId="0">
      <pane xSplit="1" ySplit="1" topLeftCell="B65" activePane="bottomRight" state="frozen"/>
      <selection pane="topRight"/>
      <selection pane="bottomLeft"/>
      <selection pane="bottomRight" activeCell="D101" sqref="D101"/>
    </sheetView>
  </sheetViews>
  <sheetFormatPr defaultColWidth="15" defaultRowHeight="13.8"/>
  <cols>
    <col min="1" max="1" width="14.21875" style="13" bestFit="1" customWidth="1"/>
    <col min="2" max="2" width="56.5546875" style="14" bestFit="1" customWidth="1"/>
    <col min="3" max="3" width="12.109375" style="15" bestFit="1" customWidth="1"/>
    <col min="4" max="4" width="19.109375" style="16" bestFit="1" customWidth="1"/>
    <col min="5" max="5" width="15" style="413"/>
    <col min="6" max="6" width="15" style="17"/>
    <col min="7" max="8" width="6" style="17" bestFit="1" customWidth="1"/>
    <col min="9" max="9" width="5" style="17" bestFit="1" customWidth="1"/>
    <col min="10" max="10" width="4" style="17" bestFit="1" customWidth="1"/>
    <col min="11" max="19" width="5.33203125" style="17" bestFit="1" customWidth="1"/>
    <col min="20" max="20" width="12.109375" style="17" bestFit="1" customWidth="1"/>
    <col min="21" max="21" width="9.77734375" style="17" bestFit="1" customWidth="1"/>
    <col min="22" max="16384" width="15" style="17"/>
  </cols>
  <sheetData>
    <row r="1" spans="1:8" s="11" customFormat="1">
      <c r="A1" s="9" t="s">
        <v>22</v>
      </c>
      <c r="B1" s="10" t="s">
        <v>23</v>
      </c>
      <c r="C1" s="11" t="s">
        <v>24</v>
      </c>
      <c r="D1" s="12" t="s">
        <v>25</v>
      </c>
      <c r="E1" s="412" t="s">
        <v>6</v>
      </c>
    </row>
    <row r="2" spans="1:8" s="15" customFormat="1">
      <c r="A2" s="13"/>
      <c r="B2" s="14" t="s">
        <v>26</v>
      </c>
      <c r="C2" s="15" t="s">
        <v>27</v>
      </c>
      <c r="D2" s="16">
        <v>18</v>
      </c>
      <c r="E2" s="413"/>
    </row>
    <row r="3" spans="1:8" s="15" customFormat="1">
      <c r="A3" s="13"/>
      <c r="B3" s="14" t="s">
        <v>28</v>
      </c>
      <c r="C3" s="15" t="s">
        <v>27</v>
      </c>
      <c r="D3" s="16">
        <v>4.2</v>
      </c>
      <c r="E3" s="413"/>
    </row>
    <row r="4" spans="1:8" s="15" customFormat="1">
      <c r="A4" s="13"/>
      <c r="B4" s="14" t="s">
        <v>29</v>
      </c>
      <c r="C4" s="15" t="s">
        <v>27</v>
      </c>
      <c r="D4" s="16">
        <v>3.6</v>
      </c>
      <c r="E4" s="413"/>
    </row>
    <row r="5" spans="1:8" s="15" customFormat="1">
      <c r="A5" s="13"/>
      <c r="B5" s="14" t="s">
        <v>30</v>
      </c>
      <c r="C5" s="15" t="s">
        <v>27</v>
      </c>
      <c r="D5" s="16">
        <v>2.7</v>
      </c>
      <c r="E5" s="413"/>
    </row>
    <row r="6" spans="1:8" s="15" customFormat="1">
      <c r="A6" s="13"/>
      <c r="B6" s="14" t="s">
        <v>31</v>
      </c>
      <c r="C6" s="15" t="s">
        <v>27</v>
      </c>
      <c r="D6" s="16">
        <v>1.7</v>
      </c>
      <c r="E6" s="413"/>
    </row>
    <row r="7" spans="1:8" s="15" customFormat="1">
      <c r="A7" s="13"/>
      <c r="B7" s="14" t="s">
        <v>32</v>
      </c>
      <c r="C7" s="15" t="s">
        <v>27</v>
      </c>
      <c r="D7" s="16">
        <f>D5+0.5</f>
        <v>3.2</v>
      </c>
      <c r="E7" s="413"/>
    </row>
    <row r="8" spans="1:8" s="11" customFormat="1">
      <c r="A8" s="9"/>
      <c r="B8" s="14" t="s">
        <v>33</v>
      </c>
      <c r="C8" s="15" t="s">
        <v>27</v>
      </c>
      <c r="D8" s="16">
        <v>2.27</v>
      </c>
      <c r="E8" s="413"/>
    </row>
    <row r="9" spans="1:8" s="15" customFormat="1">
      <c r="A9" s="13"/>
      <c r="B9" s="14" t="s">
        <v>34</v>
      </c>
      <c r="C9" s="15" t="s">
        <v>27</v>
      </c>
      <c r="D9" s="16">
        <v>4</v>
      </c>
      <c r="E9" s="413"/>
    </row>
    <row r="10" spans="1:8">
      <c r="B10" s="14" t="s">
        <v>35</v>
      </c>
      <c r="C10" s="15" t="s">
        <v>27</v>
      </c>
      <c r="D10" s="16">
        <v>6.7000000000000004E-2</v>
      </c>
      <c r="F10" s="18"/>
      <c r="H10" s="19"/>
    </row>
    <row r="11" spans="1:8">
      <c r="B11" s="14" t="s">
        <v>36</v>
      </c>
      <c r="C11" s="15" t="s">
        <v>27</v>
      </c>
      <c r="D11" s="16">
        <v>0.12</v>
      </c>
      <c r="F11" s="18"/>
      <c r="H11" s="19"/>
    </row>
    <row r="12" spans="1:8">
      <c r="F12" s="18"/>
      <c r="H12" s="19"/>
    </row>
    <row r="13" spans="1:8">
      <c r="A13" s="20" t="s">
        <v>407</v>
      </c>
      <c r="B13" s="21"/>
      <c r="C13" s="22"/>
      <c r="D13" s="23"/>
      <c r="F13" s="18"/>
      <c r="H13" s="19"/>
    </row>
    <row r="14" spans="1:8">
      <c r="B14" s="14" t="s">
        <v>391</v>
      </c>
      <c r="C14" s="15" t="s">
        <v>10</v>
      </c>
      <c r="D14" s="16">
        <v>1.881</v>
      </c>
      <c r="E14" s="413">
        <v>0.5</v>
      </c>
      <c r="F14" s="18"/>
      <c r="H14" s="19"/>
    </row>
    <row r="15" spans="1:8">
      <c r="B15" s="14" t="s">
        <v>409</v>
      </c>
      <c r="C15" s="15" t="s">
        <v>10</v>
      </c>
      <c r="D15" s="16">
        <v>1.857</v>
      </c>
      <c r="E15" s="413">
        <v>1.5</v>
      </c>
      <c r="F15" s="18"/>
      <c r="H15" s="19"/>
    </row>
    <row r="16" spans="1:8">
      <c r="B16" s="14" t="s">
        <v>411</v>
      </c>
      <c r="C16" s="15" t="s">
        <v>408</v>
      </c>
      <c r="D16" s="16">
        <v>0.14799999999999999</v>
      </c>
      <c r="E16" s="413">
        <v>1.5</v>
      </c>
      <c r="F16" s="18"/>
      <c r="H16" s="19"/>
    </row>
    <row r="17" spans="1:22">
      <c r="B17" s="14" t="s">
        <v>412</v>
      </c>
      <c r="C17" s="15" t="s">
        <v>408</v>
      </c>
      <c r="D17" s="16">
        <v>3.0000000000000001E-3</v>
      </c>
      <c r="E17" s="413">
        <v>1.3</v>
      </c>
      <c r="F17" s="18"/>
      <c r="H17" s="19"/>
      <c r="V17" s="673"/>
    </row>
    <row r="18" spans="1:22">
      <c r="B18" s="14" t="s">
        <v>413</v>
      </c>
      <c r="C18" s="15" t="s">
        <v>408</v>
      </c>
      <c r="D18" s="16">
        <v>1.7999999999999999E-2</v>
      </c>
      <c r="E18" s="413">
        <v>2</v>
      </c>
      <c r="F18" s="18"/>
      <c r="H18" s="19"/>
      <c r="V18" s="673"/>
    </row>
    <row r="19" spans="1:22">
      <c r="B19" s="14" t="s">
        <v>392</v>
      </c>
      <c r="C19" s="15" t="s">
        <v>408</v>
      </c>
      <c r="D19" s="16">
        <v>2.6360000000000001</v>
      </c>
      <c r="E19" s="413">
        <v>1.1000000000000001</v>
      </c>
      <c r="F19" s="18"/>
      <c r="H19" s="19"/>
      <c r="V19" s="673"/>
    </row>
    <row r="20" spans="1:22">
      <c r="B20" s="14" t="s">
        <v>414</v>
      </c>
      <c r="C20" s="15" t="s">
        <v>408</v>
      </c>
      <c r="D20" s="16">
        <v>2.2469999999999999</v>
      </c>
      <c r="E20" s="413">
        <v>1.2</v>
      </c>
      <c r="F20" s="18"/>
      <c r="H20" s="19"/>
      <c r="V20" s="674"/>
    </row>
    <row r="21" spans="1:22">
      <c r="B21" s="14" t="s">
        <v>322</v>
      </c>
      <c r="C21" s="15" t="s">
        <v>27</v>
      </c>
      <c r="D21" s="16">
        <v>3.1349999999999998</v>
      </c>
      <c r="E21" s="413">
        <v>0.7</v>
      </c>
      <c r="F21" s="18"/>
      <c r="H21" s="19"/>
      <c r="V21" s="674"/>
    </row>
    <row r="22" spans="1:22">
      <c r="B22" s="14" t="s">
        <v>104</v>
      </c>
      <c r="C22" s="15" t="s">
        <v>410</v>
      </c>
      <c r="D22" s="16">
        <v>0.4</v>
      </c>
      <c r="E22" s="413">
        <v>0.19</v>
      </c>
      <c r="F22" s="18"/>
      <c r="H22" s="19"/>
      <c r="V22" s="674"/>
    </row>
    <row r="23" spans="1:22">
      <c r="F23" s="18"/>
      <c r="H23" s="19"/>
      <c r="V23" s="674"/>
    </row>
    <row r="24" spans="1:22">
      <c r="F24" s="18"/>
      <c r="H24" s="19"/>
      <c r="V24" s="675"/>
    </row>
    <row r="25" spans="1:22" s="24" customFormat="1">
      <c r="A25" s="20" t="s">
        <v>37</v>
      </c>
      <c r="B25" s="21"/>
      <c r="C25" s="22"/>
      <c r="D25" s="23"/>
      <c r="E25" s="413"/>
      <c r="V25" s="675"/>
    </row>
    <row r="26" spans="1:22" s="24" customFormat="1">
      <c r="A26" s="13"/>
      <c r="B26" s="14" t="s">
        <v>365</v>
      </c>
      <c r="C26" s="15" t="s">
        <v>27</v>
      </c>
      <c r="D26" s="16">
        <v>7.3700000000000002E-2</v>
      </c>
      <c r="E26" s="677"/>
      <c r="F26" s="423"/>
      <c r="V26" s="675"/>
    </row>
    <row r="27" spans="1:22" s="24" customFormat="1">
      <c r="A27" s="13"/>
      <c r="B27" s="14" t="s">
        <v>366</v>
      </c>
      <c r="C27" s="15" t="s">
        <v>27</v>
      </c>
      <c r="D27" s="16">
        <v>7.2599999999999998E-2</v>
      </c>
      <c r="E27" s="677"/>
      <c r="F27" s="423"/>
      <c r="V27" s="675"/>
    </row>
    <row r="28" spans="1:22" s="24" customFormat="1">
      <c r="A28" s="13"/>
      <c r="B28" s="14" t="s">
        <v>367</v>
      </c>
      <c r="C28" s="15" t="s">
        <v>27</v>
      </c>
      <c r="D28" s="16">
        <v>7.1400000000000005E-2</v>
      </c>
      <c r="E28" s="677"/>
      <c r="F28" s="423"/>
      <c r="V28" s="676"/>
    </row>
    <row r="29" spans="1:22" s="24" customFormat="1">
      <c r="A29" s="13"/>
      <c r="B29" s="14" t="s">
        <v>368</v>
      </c>
      <c r="C29" s="15" t="s">
        <v>27</v>
      </c>
      <c r="D29" s="16">
        <v>5.7299999999999997E-2</v>
      </c>
      <c r="E29" s="677"/>
      <c r="F29" s="423"/>
      <c r="V29" s="676"/>
    </row>
    <row r="30" spans="1:22" s="24" customFormat="1">
      <c r="A30" s="13"/>
      <c r="B30" s="14" t="s">
        <v>369</v>
      </c>
      <c r="C30" s="15" t="s">
        <v>27</v>
      </c>
      <c r="D30" s="16">
        <v>5.79E-2</v>
      </c>
      <c r="E30" s="677"/>
      <c r="F30" s="423"/>
      <c r="V30" s="676"/>
    </row>
    <row r="31" spans="1:22" s="24" customFormat="1">
      <c r="A31" s="13"/>
      <c r="B31" s="14" t="s">
        <v>348</v>
      </c>
      <c r="C31" s="15" t="s">
        <v>27</v>
      </c>
      <c r="D31" s="16">
        <v>5.6300000000000003E-2</v>
      </c>
      <c r="E31" s="677"/>
      <c r="F31" s="423"/>
      <c r="V31" s="676"/>
    </row>
    <row r="32" spans="1:22" s="24" customFormat="1">
      <c r="A32" s="13"/>
      <c r="B32" s="14" t="s">
        <v>370</v>
      </c>
      <c r="C32" s="15" t="s">
        <v>27</v>
      </c>
      <c r="D32" s="16">
        <v>5.6000000000000001E-2</v>
      </c>
      <c r="E32" s="677"/>
      <c r="F32" s="423"/>
      <c r="V32" s="676"/>
    </row>
    <row r="33" spans="1:22" s="24" customFormat="1">
      <c r="A33" s="13"/>
      <c r="B33" s="14" t="s">
        <v>371</v>
      </c>
      <c r="C33" s="15" t="s">
        <v>27</v>
      </c>
      <c r="D33" s="16">
        <v>4.8399999999999999E-2</v>
      </c>
      <c r="E33" s="677"/>
      <c r="F33" s="423"/>
      <c r="V33" s="676"/>
    </row>
    <row r="34" spans="1:22" s="24" customFormat="1">
      <c r="A34" s="13"/>
      <c r="B34" s="14" t="s">
        <v>372</v>
      </c>
      <c r="C34" s="15" t="s">
        <v>27</v>
      </c>
      <c r="D34" s="16">
        <v>4.6100000000000002E-2</v>
      </c>
      <c r="E34" s="677"/>
      <c r="F34" s="423"/>
      <c r="V34" s="676"/>
    </row>
    <row r="35" spans="1:22" s="24" customFormat="1">
      <c r="A35" s="13"/>
      <c r="B35" s="14" t="s">
        <v>373</v>
      </c>
      <c r="C35" s="15" t="s">
        <v>27</v>
      </c>
      <c r="D35" s="16">
        <v>4.4900000000000002E-2</v>
      </c>
      <c r="E35" s="677"/>
      <c r="F35" s="423"/>
      <c r="V35" s="676"/>
    </row>
    <row r="36" spans="1:22" s="24" customFormat="1">
      <c r="A36" s="13"/>
      <c r="B36" s="14" t="s">
        <v>374</v>
      </c>
      <c r="C36" s="15" t="s">
        <v>27</v>
      </c>
      <c r="D36" s="16">
        <v>4.3900000000000002E-2</v>
      </c>
      <c r="E36" s="677"/>
      <c r="F36" s="423"/>
      <c r="V36" s="676"/>
    </row>
    <row r="37" spans="1:22" s="24" customFormat="1">
      <c r="A37" s="13"/>
      <c r="B37" s="14" t="s">
        <v>375</v>
      </c>
      <c r="C37" s="15" t="s">
        <v>27</v>
      </c>
      <c r="D37" s="16">
        <v>3.7900000000000003E-2</v>
      </c>
      <c r="E37" s="677"/>
      <c r="F37" s="423"/>
      <c r="V37" s="676"/>
    </row>
    <row r="38" spans="1:22" s="24" customFormat="1">
      <c r="A38" s="13"/>
      <c r="B38" s="14" t="s">
        <v>376</v>
      </c>
      <c r="C38" s="15" t="s">
        <v>27</v>
      </c>
      <c r="D38" s="16">
        <v>3.6799999999999999E-2</v>
      </c>
      <c r="E38" s="677"/>
      <c r="F38" s="423"/>
      <c r="V38" s="676"/>
    </row>
    <row r="39" spans="1:22" s="24" customFormat="1">
      <c r="A39" s="13"/>
      <c r="B39" s="14" t="s">
        <v>377</v>
      </c>
      <c r="C39" s="15" t="s">
        <v>27</v>
      </c>
      <c r="D39" s="16">
        <v>3.5700000000000003E-2</v>
      </c>
      <c r="E39" s="677"/>
      <c r="F39" s="423"/>
      <c r="V39" s="672"/>
    </row>
    <row r="40" spans="1:22" s="24" customFormat="1">
      <c r="A40" s="13"/>
      <c r="B40" s="14" t="s">
        <v>378</v>
      </c>
      <c r="C40" s="15" t="s">
        <v>27</v>
      </c>
      <c r="D40" s="16">
        <v>2.9000000000000001E-2</v>
      </c>
      <c r="E40" s="677"/>
      <c r="F40" s="423"/>
      <c r="V40" s="672"/>
    </row>
    <row r="41" spans="1:22" s="24" customFormat="1">
      <c r="A41" s="13"/>
      <c r="B41" s="14" t="s">
        <v>379</v>
      </c>
      <c r="C41" s="15" t="s">
        <v>27</v>
      </c>
      <c r="D41" s="16">
        <v>2.6800000000000001E-2</v>
      </c>
      <c r="E41" s="677"/>
      <c r="F41" s="423"/>
      <c r="V41" s="672"/>
    </row>
    <row r="42" spans="1:22" s="24" customFormat="1">
      <c r="A42" s="13"/>
      <c r="B42" s="14" t="s">
        <v>380</v>
      </c>
      <c r="C42" s="15" t="s">
        <v>27</v>
      </c>
      <c r="D42" s="16">
        <v>2.46E-2</v>
      </c>
      <c r="E42" s="677"/>
      <c r="F42" s="423"/>
      <c r="V42" s="672"/>
    </row>
    <row r="43" spans="1:22" s="24" customFormat="1">
      <c r="A43" s="13"/>
      <c r="B43" s="14" t="s">
        <v>381</v>
      </c>
      <c r="C43" s="15" t="s">
        <v>27</v>
      </c>
      <c r="D43" s="16">
        <v>5.1799999999999999E-2</v>
      </c>
      <c r="E43" s="677"/>
      <c r="F43" s="423"/>
      <c r="V43" s="672"/>
    </row>
    <row r="44" spans="1:22" s="24" customFormat="1">
      <c r="A44" s="13"/>
      <c r="B44" s="14" t="s">
        <v>382</v>
      </c>
      <c r="C44" s="15" t="s">
        <v>27</v>
      </c>
      <c r="D44" s="16">
        <v>5.1799999999999999E-2</v>
      </c>
      <c r="E44" s="677"/>
      <c r="F44" s="423"/>
    </row>
    <row r="45" spans="1:22" s="24" customFormat="1">
      <c r="A45" s="13"/>
      <c r="B45" s="14" t="s">
        <v>383</v>
      </c>
      <c r="C45" s="15" t="s">
        <v>27</v>
      </c>
      <c r="D45" s="16">
        <v>5.1799999999999999E-2</v>
      </c>
      <c r="E45" s="677"/>
      <c r="F45" s="423"/>
    </row>
    <row r="46" spans="1:22" s="24" customFormat="1">
      <c r="A46" s="13"/>
      <c r="B46" s="14" t="s">
        <v>384</v>
      </c>
      <c r="C46" s="15" t="s">
        <v>27</v>
      </c>
      <c r="D46" s="16">
        <v>8.2100000000000006E-2</v>
      </c>
      <c r="E46" s="677"/>
      <c r="F46" s="423"/>
    </row>
    <row r="47" spans="1:22" s="24" customFormat="1">
      <c r="A47" s="13"/>
      <c r="B47" s="14" t="s">
        <v>385</v>
      </c>
      <c r="C47" s="15" t="s">
        <v>27</v>
      </c>
      <c r="D47" s="16">
        <v>8.2199999999999995E-2</v>
      </c>
      <c r="E47" s="677"/>
      <c r="F47" s="423"/>
    </row>
    <row r="48" spans="1:22" s="24" customFormat="1">
      <c r="A48" s="13"/>
      <c r="B48" s="14"/>
      <c r="C48" s="15"/>
      <c r="D48" s="16"/>
      <c r="E48" s="413"/>
    </row>
    <row r="49" spans="1:20" s="24" customFormat="1">
      <c r="A49" s="13"/>
      <c r="B49" s="14"/>
      <c r="C49" s="15"/>
      <c r="D49" s="16"/>
      <c r="E49" s="413"/>
    </row>
    <row r="50" spans="1:20" s="11" customFormat="1">
      <c r="A50" s="21" t="s">
        <v>362</v>
      </c>
      <c r="B50" s="21"/>
      <c r="C50" s="22"/>
      <c r="D50" s="23"/>
      <c r="E50" s="412"/>
    </row>
    <row r="51" spans="1:20" s="24" customFormat="1">
      <c r="A51" s="13"/>
      <c r="B51" s="14" t="s">
        <v>38</v>
      </c>
      <c r="C51" s="15" t="s">
        <v>27</v>
      </c>
      <c r="D51" s="16">
        <v>3.8E-3</v>
      </c>
      <c r="E51" s="413">
        <v>23</v>
      </c>
    </row>
    <row r="52" spans="1:20" s="24" customFormat="1" ht="14.4" thickBot="1">
      <c r="A52" s="13"/>
      <c r="B52" s="14" t="s">
        <v>39</v>
      </c>
      <c r="C52" s="15" t="s">
        <v>27</v>
      </c>
      <c r="D52" s="16">
        <v>3.5000000000000001E-3</v>
      </c>
      <c r="E52" s="413">
        <v>23</v>
      </c>
      <c r="T52" s="24" t="s">
        <v>402</v>
      </c>
    </row>
    <row r="53" spans="1:20" s="24" customFormat="1" ht="14.4" thickBot="1">
      <c r="A53" s="13"/>
      <c r="B53" s="14" t="s">
        <v>40</v>
      </c>
      <c r="C53" s="15" t="s">
        <v>27</v>
      </c>
      <c r="D53" s="16">
        <v>3.0000000000000001E-3</v>
      </c>
      <c r="E53" s="413">
        <v>23</v>
      </c>
      <c r="G53" s="425">
        <v>6.3E-2</v>
      </c>
      <c r="H53" s="425">
        <v>0.125</v>
      </c>
      <c r="I53" s="425">
        <v>0.25</v>
      </c>
      <c r="J53" s="425">
        <v>0.5</v>
      </c>
      <c r="K53" s="425">
        <v>1</v>
      </c>
      <c r="L53" s="425">
        <v>2</v>
      </c>
      <c r="M53" s="425">
        <v>4</v>
      </c>
      <c r="N53" s="425">
        <v>6.3</v>
      </c>
      <c r="O53" s="425">
        <v>8</v>
      </c>
      <c r="P53" s="425">
        <v>12</v>
      </c>
      <c r="Q53" s="425">
        <v>16</v>
      </c>
      <c r="R53" s="425">
        <v>20</v>
      </c>
      <c r="S53" s="426">
        <v>32</v>
      </c>
      <c r="T53" s="436"/>
    </row>
    <row r="54" spans="1:20" s="24" customFormat="1" ht="14.4" thickBot="1">
      <c r="A54" s="13"/>
      <c r="B54" s="14" t="s">
        <v>350</v>
      </c>
      <c r="C54" s="15" t="s">
        <v>27</v>
      </c>
      <c r="D54" s="421">
        <v>4.1000000000000003E-3</v>
      </c>
      <c r="E54" s="413">
        <v>25</v>
      </c>
      <c r="G54" s="427">
        <v>1</v>
      </c>
      <c r="H54" s="428">
        <v>1</v>
      </c>
      <c r="I54" s="428">
        <v>1</v>
      </c>
      <c r="J54" s="428">
        <v>1</v>
      </c>
      <c r="K54" s="428">
        <v>2</v>
      </c>
      <c r="L54" s="428">
        <v>2</v>
      </c>
      <c r="M54" s="428">
        <v>2</v>
      </c>
      <c r="N54" s="428">
        <v>3</v>
      </c>
      <c r="O54" s="428">
        <v>20</v>
      </c>
      <c r="P54" s="428">
        <v>81.666666666666671</v>
      </c>
      <c r="Q54" s="428">
        <v>80</v>
      </c>
      <c r="R54" s="428">
        <v>95</v>
      </c>
      <c r="S54" s="429">
        <v>100</v>
      </c>
      <c r="T54" s="436">
        <v>2.69</v>
      </c>
    </row>
    <row r="55" spans="1:20" s="24" customFormat="1" ht="14.4" thickBot="1">
      <c r="A55" s="13"/>
      <c r="B55" s="14" t="s">
        <v>351</v>
      </c>
      <c r="C55" s="15" t="s">
        <v>27</v>
      </c>
      <c r="D55" s="421">
        <v>4.0000000000000001E-3</v>
      </c>
      <c r="E55" s="413">
        <v>26</v>
      </c>
      <c r="G55" s="430">
        <v>1</v>
      </c>
      <c r="H55" s="431">
        <v>1</v>
      </c>
      <c r="I55" s="431">
        <v>1</v>
      </c>
      <c r="J55" s="431">
        <v>1</v>
      </c>
      <c r="K55" s="431">
        <v>1</v>
      </c>
      <c r="L55" s="431">
        <v>2</v>
      </c>
      <c r="M55" s="431">
        <v>5</v>
      </c>
      <c r="N55" s="431">
        <v>20</v>
      </c>
      <c r="O55" s="431">
        <v>40</v>
      </c>
      <c r="P55" s="431">
        <v>60</v>
      </c>
      <c r="Q55" s="431">
        <v>90</v>
      </c>
      <c r="R55" s="431">
        <v>100</v>
      </c>
      <c r="S55" s="431" t="e">
        <v>#N/A</v>
      </c>
      <c r="T55" s="436">
        <v>2.68</v>
      </c>
    </row>
    <row r="56" spans="1:20" s="24" customFormat="1" ht="14.4" thickBot="1">
      <c r="A56" s="13"/>
      <c r="B56" s="14" t="s">
        <v>352</v>
      </c>
      <c r="C56" s="15" t="s">
        <v>27</v>
      </c>
      <c r="D56" s="421">
        <v>4.0000000000000001E-3</v>
      </c>
      <c r="E56" s="413">
        <v>26</v>
      </c>
      <c r="G56" s="430">
        <v>1</v>
      </c>
      <c r="H56" s="431">
        <v>1</v>
      </c>
      <c r="I56" s="431">
        <v>1</v>
      </c>
      <c r="J56" s="431">
        <v>1</v>
      </c>
      <c r="K56" s="431">
        <v>1</v>
      </c>
      <c r="L56" s="431">
        <v>2</v>
      </c>
      <c r="M56" s="431">
        <v>8</v>
      </c>
      <c r="N56" s="431">
        <v>30</v>
      </c>
      <c r="O56" s="431">
        <v>60</v>
      </c>
      <c r="P56" s="431">
        <v>95</v>
      </c>
      <c r="Q56" s="431">
        <v>100</v>
      </c>
      <c r="R56" s="431" t="e">
        <v>#N/A</v>
      </c>
      <c r="S56" s="431" t="e">
        <v>#N/A</v>
      </c>
      <c r="T56" s="436">
        <v>2.68</v>
      </c>
    </row>
    <row r="57" spans="1:20" s="24" customFormat="1" ht="14.4" thickBot="1">
      <c r="A57" s="13"/>
      <c r="B57" s="14" t="s">
        <v>353</v>
      </c>
      <c r="C57" s="15" t="s">
        <v>27</v>
      </c>
      <c r="D57" s="421">
        <v>3.8999999999999998E-3</v>
      </c>
      <c r="E57" s="413">
        <v>27</v>
      </c>
      <c r="G57" s="430">
        <v>1</v>
      </c>
      <c r="H57" s="431">
        <v>1</v>
      </c>
      <c r="I57" s="431">
        <v>1</v>
      </c>
      <c r="J57" s="431">
        <v>1</v>
      </c>
      <c r="K57" s="431">
        <v>2</v>
      </c>
      <c r="L57" s="431">
        <v>2</v>
      </c>
      <c r="M57" s="431">
        <v>30</v>
      </c>
      <c r="N57" s="431">
        <v>60</v>
      </c>
      <c r="O57" s="431">
        <v>90</v>
      </c>
      <c r="P57" s="431">
        <v>100</v>
      </c>
      <c r="Q57" s="431" t="e">
        <v>#N/A</v>
      </c>
      <c r="R57" s="431" t="e">
        <v>#N/A</v>
      </c>
      <c r="S57" s="431" t="e">
        <v>#N/A</v>
      </c>
      <c r="T57" s="436">
        <v>2.91</v>
      </c>
    </row>
    <row r="58" spans="1:20" s="24" customFormat="1" ht="14.4" thickBot="1">
      <c r="A58" s="13"/>
      <c r="B58" s="14" t="s">
        <v>354</v>
      </c>
      <c r="C58" s="15" t="s">
        <v>27</v>
      </c>
      <c r="D58" s="421">
        <v>3.8999999999999998E-3</v>
      </c>
      <c r="E58" s="413">
        <v>26</v>
      </c>
      <c r="G58" s="430">
        <v>1</v>
      </c>
      <c r="H58" s="431">
        <v>1</v>
      </c>
      <c r="I58" s="431">
        <v>1</v>
      </c>
      <c r="J58" s="431">
        <v>1</v>
      </c>
      <c r="K58" s="431">
        <v>5</v>
      </c>
      <c r="L58" s="431">
        <v>30</v>
      </c>
      <c r="M58" s="431">
        <v>60</v>
      </c>
      <c r="N58" s="431">
        <v>90</v>
      </c>
      <c r="O58" s="431">
        <v>100</v>
      </c>
      <c r="P58" s="431" t="e">
        <v>#N/A</v>
      </c>
      <c r="Q58" s="431" t="e">
        <v>#N/A</v>
      </c>
      <c r="R58" s="431" t="e">
        <v>#N/A</v>
      </c>
      <c r="S58" s="431" t="e">
        <v>#N/A</v>
      </c>
      <c r="T58" s="436">
        <v>2.69</v>
      </c>
    </row>
    <row r="59" spans="1:20" s="26" customFormat="1">
      <c r="A59" s="13"/>
      <c r="B59" s="14" t="s">
        <v>355</v>
      </c>
      <c r="C59" s="15" t="s">
        <v>27</v>
      </c>
      <c r="D59" s="421">
        <v>3.2000000000000002E-3</v>
      </c>
      <c r="E59" s="413">
        <v>16</v>
      </c>
      <c r="G59" s="430">
        <v>8</v>
      </c>
      <c r="H59" s="431">
        <v>20</v>
      </c>
      <c r="I59" s="431">
        <v>30</v>
      </c>
      <c r="J59" s="431">
        <v>50</v>
      </c>
      <c r="K59" s="431">
        <v>60</v>
      </c>
      <c r="L59" s="431">
        <v>70</v>
      </c>
      <c r="M59" s="431">
        <v>88</v>
      </c>
      <c r="N59" s="431">
        <v>100</v>
      </c>
      <c r="O59" s="431" t="e">
        <v>#N/A</v>
      </c>
      <c r="P59" s="431" t="e">
        <v>#N/A</v>
      </c>
      <c r="Q59" s="431" t="e">
        <v>#N/A</v>
      </c>
      <c r="R59" s="431" t="e">
        <v>#N/A</v>
      </c>
      <c r="S59" s="431" t="e">
        <v>#N/A</v>
      </c>
      <c r="T59" s="436">
        <v>2.76</v>
      </c>
    </row>
    <row r="60" spans="1:20" s="26" customFormat="1">
      <c r="A60" s="13"/>
      <c r="B60" s="14"/>
      <c r="C60" s="15"/>
      <c r="D60" s="421"/>
      <c r="E60" s="25"/>
      <c r="T60" s="436"/>
    </row>
    <row r="61" spans="1:20" s="26" customFormat="1">
      <c r="A61" s="13"/>
      <c r="B61" s="14" t="s">
        <v>356</v>
      </c>
      <c r="C61" s="15" t="s">
        <v>27</v>
      </c>
      <c r="D61" s="421">
        <v>4.1000000000000003E-3</v>
      </c>
      <c r="E61" s="25">
        <v>25</v>
      </c>
      <c r="G61" s="433">
        <v>1</v>
      </c>
      <c r="H61" s="434">
        <v>1</v>
      </c>
      <c r="I61" s="434">
        <v>1</v>
      </c>
      <c r="J61" s="434">
        <v>1</v>
      </c>
      <c r="K61" s="434">
        <v>2</v>
      </c>
      <c r="L61" s="434">
        <v>2</v>
      </c>
      <c r="M61" s="434">
        <v>2</v>
      </c>
      <c r="N61" s="434">
        <v>3</v>
      </c>
      <c r="O61" s="434">
        <v>20</v>
      </c>
      <c r="P61" s="434">
        <v>81.666666666666671</v>
      </c>
      <c r="Q61" s="434">
        <v>80</v>
      </c>
      <c r="R61" s="434">
        <v>95</v>
      </c>
      <c r="S61" s="434">
        <v>100</v>
      </c>
      <c r="T61" s="436">
        <v>2.69</v>
      </c>
    </row>
    <row r="62" spans="1:20" s="26" customFormat="1">
      <c r="A62" s="13"/>
      <c r="B62" s="14" t="s">
        <v>357</v>
      </c>
      <c r="C62" s="15" t="s">
        <v>27</v>
      </c>
      <c r="D62" s="421">
        <v>4.0000000000000001E-3</v>
      </c>
      <c r="E62" s="25">
        <v>26</v>
      </c>
      <c r="G62" s="433">
        <v>1</v>
      </c>
      <c r="H62" s="434">
        <v>1</v>
      </c>
      <c r="I62" s="434">
        <v>1</v>
      </c>
      <c r="J62" s="434">
        <v>1</v>
      </c>
      <c r="K62" s="434">
        <v>1</v>
      </c>
      <c r="L62" s="434">
        <v>2</v>
      </c>
      <c r="M62" s="434">
        <v>2</v>
      </c>
      <c r="N62" s="434">
        <v>20</v>
      </c>
      <c r="O62" s="434">
        <v>40</v>
      </c>
      <c r="P62" s="434">
        <v>60</v>
      </c>
      <c r="Q62" s="434">
        <v>90</v>
      </c>
      <c r="R62" s="434">
        <v>100</v>
      </c>
      <c r="S62" s="434" t="e">
        <v>#N/A</v>
      </c>
      <c r="T62" s="436">
        <v>2.68</v>
      </c>
    </row>
    <row r="63" spans="1:20" s="26" customFormat="1">
      <c r="A63" s="13"/>
      <c r="B63" s="14" t="s">
        <v>358</v>
      </c>
      <c r="C63" s="15" t="s">
        <v>27</v>
      </c>
      <c r="D63" s="421">
        <v>4.0000000000000001E-3</v>
      </c>
      <c r="E63" s="25">
        <v>26</v>
      </c>
      <c r="G63" s="433">
        <v>1</v>
      </c>
      <c r="H63" s="434">
        <v>1</v>
      </c>
      <c r="I63" s="434">
        <v>1</v>
      </c>
      <c r="J63" s="434">
        <v>1</v>
      </c>
      <c r="K63" s="434">
        <v>1</v>
      </c>
      <c r="L63" s="434">
        <v>2</v>
      </c>
      <c r="M63" s="434">
        <v>4</v>
      </c>
      <c r="N63" s="434">
        <v>30</v>
      </c>
      <c r="O63" s="434">
        <v>65</v>
      </c>
      <c r="P63" s="434">
        <v>95</v>
      </c>
      <c r="Q63" s="434">
        <v>100</v>
      </c>
      <c r="R63" s="434" t="e">
        <v>#N/A</v>
      </c>
      <c r="S63" s="434" t="e">
        <v>#N/A</v>
      </c>
      <c r="T63" s="436">
        <v>2.68</v>
      </c>
    </row>
    <row r="64" spans="1:20" s="26" customFormat="1">
      <c r="A64" s="13"/>
      <c r="B64" s="14" t="s">
        <v>359</v>
      </c>
      <c r="C64" s="15" t="s">
        <v>27</v>
      </c>
      <c r="D64" s="421">
        <v>3.8999999999999998E-3</v>
      </c>
      <c r="E64" s="25">
        <v>27</v>
      </c>
      <c r="G64" s="433">
        <v>1</v>
      </c>
      <c r="H64" s="434">
        <v>1</v>
      </c>
      <c r="I64" s="434">
        <v>1</v>
      </c>
      <c r="J64" s="434">
        <v>1</v>
      </c>
      <c r="K64" s="434">
        <v>2</v>
      </c>
      <c r="L64" s="434">
        <v>2</v>
      </c>
      <c r="M64" s="434">
        <v>30</v>
      </c>
      <c r="N64" s="434">
        <v>60</v>
      </c>
      <c r="O64" s="434">
        <v>90</v>
      </c>
      <c r="P64" s="434">
        <v>100</v>
      </c>
      <c r="Q64" s="434" t="e">
        <v>#N/A</v>
      </c>
      <c r="R64" s="434" t="e">
        <v>#N/A</v>
      </c>
      <c r="S64" s="434" t="e">
        <v>#N/A</v>
      </c>
      <c r="T64" s="436">
        <v>2.91</v>
      </c>
    </row>
    <row r="65" spans="1:20" s="26" customFormat="1">
      <c r="A65" s="13"/>
      <c r="B65" s="14" t="s">
        <v>360</v>
      </c>
      <c r="C65" s="15" t="s">
        <v>27</v>
      </c>
      <c r="D65" s="421">
        <v>3.8999999999999998E-3</v>
      </c>
      <c r="E65" s="25">
        <v>26</v>
      </c>
      <c r="G65" s="433">
        <v>1</v>
      </c>
      <c r="H65" s="434">
        <v>1</v>
      </c>
      <c r="I65" s="434">
        <v>1</v>
      </c>
      <c r="J65" s="434">
        <v>1</v>
      </c>
      <c r="K65" s="434">
        <v>5</v>
      </c>
      <c r="L65" s="434">
        <v>30</v>
      </c>
      <c r="M65" s="434">
        <v>60</v>
      </c>
      <c r="N65" s="434">
        <v>95</v>
      </c>
      <c r="O65" s="434">
        <v>100</v>
      </c>
      <c r="P65" s="434" t="e">
        <v>#N/A</v>
      </c>
      <c r="Q65" s="434" t="e">
        <v>#N/A</v>
      </c>
      <c r="R65" s="434" t="e">
        <v>#N/A</v>
      </c>
      <c r="S65" s="434" t="e">
        <v>#N/A</v>
      </c>
      <c r="T65" s="436">
        <v>2.69</v>
      </c>
    </row>
    <row r="66" spans="1:20" s="26" customFormat="1">
      <c r="A66" s="13"/>
      <c r="B66" s="14" t="s">
        <v>361</v>
      </c>
      <c r="C66" s="15" t="s">
        <v>27</v>
      </c>
      <c r="D66" s="421">
        <v>3.2000000000000002E-3</v>
      </c>
      <c r="E66" s="25">
        <v>16</v>
      </c>
      <c r="G66" s="433">
        <v>8</v>
      </c>
      <c r="H66" s="434">
        <v>20</v>
      </c>
      <c r="I66" s="434">
        <v>30</v>
      </c>
      <c r="J66" s="434">
        <v>50</v>
      </c>
      <c r="K66" s="434">
        <v>60</v>
      </c>
      <c r="L66" s="434">
        <v>70</v>
      </c>
      <c r="M66" s="434">
        <v>88</v>
      </c>
      <c r="N66" s="434">
        <v>100</v>
      </c>
      <c r="O66" s="434" t="e">
        <v>#N/A</v>
      </c>
      <c r="P66" s="434" t="e">
        <v>#N/A</v>
      </c>
      <c r="Q66" s="434" t="e">
        <v>#N/A</v>
      </c>
      <c r="R66" s="434" t="e">
        <v>#N/A</v>
      </c>
      <c r="S66" s="434" t="e">
        <v>#N/A</v>
      </c>
      <c r="T66" s="436">
        <v>2.76</v>
      </c>
    </row>
    <row r="67" spans="1:20" s="26" customFormat="1">
      <c r="A67" s="13"/>
      <c r="B67" s="14"/>
      <c r="C67" s="15"/>
      <c r="D67" s="16"/>
      <c r="E67" s="413"/>
      <c r="T67" s="436"/>
    </row>
    <row r="68" spans="1:20" s="26" customFormat="1">
      <c r="A68" s="13"/>
      <c r="B68" s="14" t="s">
        <v>390</v>
      </c>
      <c r="C68" s="15" t="s">
        <v>27</v>
      </c>
      <c r="D68" s="16">
        <v>3.3E-3</v>
      </c>
      <c r="E68" s="413">
        <v>8</v>
      </c>
      <c r="G68" s="433">
        <v>1</v>
      </c>
      <c r="H68" s="434">
        <v>1</v>
      </c>
      <c r="I68" s="434">
        <v>1</v>
      </c>
      <c r="J68" s="434">
        <v>1</v>
      </c>
      <c r="K68" s="434">
        <v>2</v>
      </c>
      <c r="L68" s="434">
        <v>2</v>
      </c>
      <c r="M68" s="434">
        <v>2</v>
      </c>
      <c r="N68" s="434">
        <v>3</v>
      </c>
      <c r="O68" s="434">
        <v>20</v>
      </c>
      <c r="P68" s="434">
        <v>81.666666666666671</v>
      </c>
      <c r="Q68" s="434">
        <v>75</v>
      </c>
      <c r="R68" s="434">
        <v>88</v>
      </c>
      <c r="S68" s="434">
        <v>98</v>
      </c>
      <c r="T68" s="436">
        <v>2.73</v>
      </c>
    </row>
    <row r="69" spans="1:20" s="26" customFormat="1">
      <c r="A69" s="13"/>
      <c r="B69" s="14" t="s">
        <v>389</v>
      </c>
      <c r="C69" s="15" t="s">
        <v>27</v>
      </c>
      <c r="D69" s="16">
        <v>3.3E-3</v>
      </c>
      <c r="E69" s="413">
        <v>9</v>
      </c>
      <c r="G69" s="433">
        <v>1</v>
      </c>
      <c r="H69" s="434">
        <v>1</v>
      </c>
      <c r="I69" s="434">
        <v>1</v>
      </c>
      <c r="J69" s="434">
        <v>1</v>
      </c>
      <c r="K69" s="434">
        <v>1</v>
      </c>
      <c r="L69" s="434">
        <v>2</v>
      </c>
      <c r="M69" s="434">
        <v>2</v>
      </c>
      <c r="N69" s="434">
        <v>20</v>
      </c>
      <c r="O69" s="434">
        <v>40</v>
      </c>
      <c r="P69" s="434">
        <v>60</v>
      </c>
      <c r="Q69" s="434">
        <v>90</v>
      </c>
      <c r="R69" s="434">
        <v>100</v>
      </c>
      <c r="S69" s="434" t="e">
        <v>#N/A</v>
      </c>
      <c r="T69" s="436">
        <v>2.73</v>
      </c>
    </row>
    <row r="70" spans="1:20" s="26" customFormat="1">
      <c r="A70" s="13"/>
      <c r="B70" s="14" t="s">
        <v>388</v>
      </c>
      <c r="C70" s="15" t="s">
        <v>27</v>
      </c>
      <c r="D70" s="16">
        <v>3.3E-3</v>
      </c>
      <c r="E70" s="413">
        <v>9</v>
      </c>
      <c r="G70" s="433">
        <v>1</v>
      </c>
      <c r="H70" s="434">
        <v>1</v>
      </c>
      <c r="I70" s="434">
        <v>1</v>
      </c>
      <c r="J70" s="434">
        <v>1</v>
      </c>
      <c r="K70" s="434">
        <v>1</v>
      </c>
      <c r="L70" s="434">
        <v>2</v>
      </c>
      <c r="M70" s="434">
        <v>4</v>
      </c>
      <c r="N70" s="434">
        <v>30</v>
      </c>
      <c r="O70" s="434">
        <v>65</v>
      </c>
      <c r="P70" s="434">
        <v>95</v>
      </c>
      <c r="Q70" s="434">
        <v>100</v>
      </c>
      <c r="R70" s="434" t="e">
        <v>#N/A</v>
      </c>
      <c r="S70" s="434" t="e">
        <v>#N/A</v>
      </c>
      <c r="T70" s="436">
        <v>2.73</v>
      </c>
    </row>
    <row r="71" spans="1:20" s="26" customFormat="1">
      <c r="A71" s="13"/>
      <c r="B71" s="14" t="s">
        <v>403</v>
      </c>
      <c r="C71" s="15" t="s">
        <v>27</v>
      </c>
      <c r="D71" s="16">
        <v>3.3E-3</v>
      </c>
      <c r="E71" s="413">
        <v>9</v>
      </c>
      <c r="G71" s="433">
        <v>1</v>
      </c>
      <c r="H71" s="434">
        <v>1</v>
      </c>
      <c r="I71" s="434">
        <v>1</v>
      </c>
      <c r="J71" s="434">
        <v>1</v>
      </c>
      <c r="K71" s="434">
        <v>1</v>
      </c>
      <c r="L71" s="434">
        <v>2</v>
      </c>
      <c r="M71" s="434">
        <v>30</v>
      </c>
      <c r="N71" s="434">
        <v>40</v>
      </c>
      <c r="O71" s="434">
        <v>60</v>
      </c>
      <c r="P71" s="434">
        <v>75</v>
      </c>
      <c r="Q71" s="434">
        <v>95</v>
      </c>
      <c r="R71" s="434" t="e">
        <v>#N/A</v>
      </c>
      <c r="S71" s="434" t="e">
        <v>#N/A</v>
      </c>
      <c r="T71" s="436">
        <v>2.73</v>
      </c>
    </row>
    <row r="72" spans="1:20" s="26" customFormat="1">
      <c r="A72" s="13"/>
      <c r="B72" s="14" t="s">
        <v>404</v>
      </c>
      <c r="C72" s="15" t="s">
        <v>27</v>
      </c>
      <c r="D72" s="16">
        <v>3.3E-3</v>
      </c>
      <c r="E72" s="413">
        <v>9</v>
      </c>
      <c r="G72" s="433">
        <v>1</v>
      </c>
      <c r="H72" s="434">
        <v>1</v>
      </c>
      <c r="I72" s="434">
        <v>1</v>
      </c>
      <c r="J72" s="434">
        <v>1</v>
      </c>
      <c r="K72" s="434">
        <v>1</v>
      </c>
      <c r="L72" s="434">
        <v>2</v>
      </c>
      <c r="M72" s="434">
        <v>30</v>
      </c>
      <c r="N72" s="434">
        <v>60</v>
      </c>
      <c r="O72" s="434">
        <v>80</v>
      </c>
      <c r="P72" s="434">
        <v>95</v>
      </c>
      <c r="Q72" s="434">
        <v>100</v>
      </c>
      <c r="R72" s="434" t="e">
        <v>#N/A</v>
      </c>
      <c r="S72" s="434" t="e">
        <v>#N/A</v>
      </c>
      <c r="T72" s="436">
        <v>2.73</v>
      </c>
    </row>
    <row r="73" spans="1:20" s="26" customFormat="1">
      <c r="A73" s="13"/>
      <c r="B73" s="14" t="s">
        <v>387</v>
      </c>
      <c r="C73" s="15" t="s">
        <v>27</v>
      </c>
      <c r="D73" s="16">
        <v>3.3E-3</v>
      </c>
      <c r="E73" s="413">
        <v>9</v>
      </c>
      <c r="G73" s="433">
        <v>1</v>
      </c>
      <c r="H73" s="434">
        <v>1</v>
      </c>
      <c r="I73" s="434">
        <v>1</v>
      </c>
      <c r="J73" s="434">
        <v>1</v>
      </c>
      <c r="K73" s="434">
        <v>2</v>
      </c>
      <c r="L73" s="434">
        <v>2</v>
      </c>
      <c r="M73" s="434">
        <v>30</v>
      </c>
      <c r="N73" s="434">
        <v>60</v>
      </c>
      <c r="O73" s="434">
        <v>90</v>
      </c>
      <c r="P73" s="434">
        <v>100</v>
      </c>
      <c r="Q73" s="434" t="e">
        <v>#N/A</v>
      </c>
      <c r="R73" s="434" t="e">
        <v>#N/A</v>
      </c>
      <c r="S73" s="434" t="e">
        <v>#N/A</v>
      </c>
      <c r="T73" s="436">
        <v>2.73</v>
      </c>
    </row>
    <row r="74" spans="1:20" s="26" customFormat="1">
      <c r="A74" s="13"/>
      <c r="B74" s="14" t="s">
        <v>386</v>
      </c>
      <c r="C74" s="15" t="s">
        <v>27</v>
      </c>
      <c r="D74" s="16">
        <v>3.0000000000000001E-3</v>
      </c>
      <c r="E74" s="413">
        <v>7</v>
      </c>
      <c r="G74" s="433">
        <v>8</v>
      </c>
      <c r="H74" s="434">
        <v>20</v>
      </c>
      <c r="I74" s="434">
        <v>30</v>
      </c>
      <c r="J74" s="434">
        <v>50</v>
      </c>
      <c r="K74" s="434">
        <v>60</v>
      </c>
      <c r="L74" s="434">
        <v>70</v>
      </c>
      <c r="M74" s="434">
        <v>88</v>
      </c>
      <c r="N74" s="434">
        <v>100</v>
      </c>
      <c r="O74" s="434" t="e">
        <v>#N/A</v>
      </c>
      <c r="P74" s="434" t="e">
        <v>#N/A</v>
      </c>
      <c r="Q74" s="434" t="e">
        <v>#N/A</v>
      </c>
      <c r="R74" s="434" t="e">
        <v>#N/A</v>
      </c>
      <c r="S74" s="434" t="e">
        <v>#N/A</v>
      </c>
      <c r="T74" s="436">
        <v>2.76</v>
      </c>
    </row>
    <row r="77" spans="1:20" s="26" customFormat="1">
      <c r="A77" s="13"/>
      <c r="B77" s="14"/>
      <c r="C77" s="15"/>
      <c r="D77" s="16"/>
      <c r="E77" s="413"/>
    </row>
    <row r="78" spans="1:20" s="26" customFormat="1">
      <c r="A78" s="20" t="s">
        <v>44</v>
      </c>
      <c r="B78" s="21"/>
      <c r="C78" s="22"/>
      <c r="D78" s="23"/>
      <c r="E78" s="413"/>
    </row>
    <row r="79" spans="1:20" s="24" customFormat="1">
      <c r="A79" s="13"/>
      <c r="B79" s="14" t="s">
        <v>41</v>
      </c>
      <c r="C79" s="15" t="s">
        <v>27</v>
      </c>
      <c r="D79" s="16">
        <v>3.8E-3</v>
      </c>
      <c r="E79" s="413">
        <v>9.5</v>
      </c>
    </row>
    <row r="80" spans="1:20" s="24" customFormat="1">
      <c r="A80" s="13"/>
      <c r="B80" s="14" t="s">
        <v>42</v>
      </c>
      <c r="C80" s="15" t="s">
        <v>27</v>
      </c>
      <c r="D80" s="16">
        <v>3.3E-3</v>
      </c>
      <c r="E80" s="413">
        <v>9</v>
      </c>
    </row>
    <row r="81" spans="1:20" s="24" customFormat="1">
      <c r="A81" s="13"/>
      <c r="B81" s="14" t="s">
        <v>43</v>
      </c>
      <c r="C81" s="15" t="s">
        <v>27</v>
      </c>
      <c r="D81" s="16">
        <v>3.0000000000000001E-3</v>
      </c>
      <c r="E81" s="413">
        <v>7</v>
      </c>
    </row>
    <row r="82" spans="1:20" s="11" customFormat="1">
      <c r="A82" s="9"/>
      <c r="B82" s="10"/>
      <c r="D82" s="12"/>
      <c r="E82" s="412"/>
    </row>
    <row r="83" spans="1:20" s="11" customFormat="1">
      <c r="A83" s="20" t="s">
        <v>44</v>
      </c>
      <c r="B83" s="21"/>
      <c r="C83" s="22"/>
      <c r="D83" s="23"/>
      <c r="E83" s="412"/>
    </row>
    <row r="84" spans="1:20" s="24" customFormat="1">
      <c r="A84" s="13"/>
      <c r="B84" s="14" t="s">
        <v>45</v>
      </c>
      <c r="C84" s="15" t="s">
        <v>27</v>
      </c>
      <c r="D84" s="16">
        <v>2.5999999999999999E-3</v>
      </c>
      <c r="E84" s="413">
        <v>11</v>
      </c>
    </row>
    <row r="85" spans="1:20" s="24" customFormat="1">
      <c r="A85" s="13"/>
      <c r="B85" s="14" t="s">
        <v>46</v>
      </c>
      <c r="C85" s="15" t="s">
        <v>27</v>
      </c>
      <c r="D85" s="16">
        <v>2.5000000000000001E-3</v>
      </c>
      <c r="E85" s="413">
        <v>10</v>
      </c>
    </row>
    <row r="86" spans="1:20" s="24" customFormat="1">
      <c r="A86" s="13"/>
      <c r="B86" s="14" t="s">
        <v>47</v>
      </c>
      <c r="C86" s="15" t="s">
        <v>27</v>
      </c>
      <c r="D86" s="16">
        <v>1.9E-3</v>
      </c>
      <c r="E86" s="413">
        <v>8</v>
      </c>
    </row>
    <row r="87" spans="1:20" s="11" customFormat="1">
      <c r="A87" s="9"/>
      <c r="B87" s="10"/>
      <c r="D87" s="12"/>
      <c r="E87" s="412"/>
    </row>
    <row r="88" spans="1:20" s="11" customFormat="1">
      <c r="A88" s="20" t="s">
        <v>48</v>
      </c>
      <c r="B88" s="21"/>
      <c r="C88" s="22"/>
      <c r="D88" s="23"/>
      <c r="E88" s="412"/>
    </row>
    <row r="89" spans="1:20" s="24" customFormat="1">
      <c r="A89" s="13"/>
      <c r="B89" s="14" t="s">
        <v>49</v>
      </c>
      <c r="C89" s="15" t="s">
        <v>27</v>
      </c>
      <c r="D89" s="16">
        <v>3.2000000000000002E-3</v>
      </c>
      <c r="E89" s="413">
        <v>3.5</v>
      </c>
    </row>
    <row r="90" spans="1:20" s="24" customFormat="1">
      <c r="A90" s="13"/>
      <c r="B90" s="14" t="s">
        <v>50</v>
      </c>
      <c r="C90" s="15" t="s">
        <v>27</v>
      </c>
      <c r="D90" s="16">
        <v>4.0000000000000001E-3</v>
      </c>
      <c r="E90" s="413">
        <v>5</v>
      </c>
    </row>
    <row r="91" spans="1:20" s="24" customFormat="1" ht="14.4" thickBot="1">
      <c r="A91" s="13"/>
      <c r="B91" s="14" t="s">
        <v>51</v>
      </c>
      <c r="C91" s="15" t="s">
        <v>27</v>
      </c>
      <c r="D91" s="16">
        <v>4.2000000000000006E-3</v>
      </c>
      <c r="E91" s="413">
        <v>4</v>
      </c>
    </row>
    <row r="92" spans="1:20" s="24" customFormat="1">
      <c r="A92" s="13"/>
      <c r="B92" s="14" t="s">
        <v>52</v>
      </c>
      <c r="C92" s="15" t="s">
        <v>27</v>
      </c>
      <c r="D92" s="16">
        <v>3.3999999999999998E-3</v>
      </c>
      <c r="E92" s="413">
        <v>5</v>
      </c>
      <c r="G92" s="430">
        <v>2</v>
      </c>
      <c r="H92" s="431">
        <v>20</v>
      </c>
      <c r="I92" s="431">
        <v>60</v>
      </c>
      <c r="J92" s="431">
        <v>80</v>
      </c>
      <c r="K92" s="431">
        <v>90</v>
      </c>
      <c r="L92" s="431">
        <v>100</v>
      </c>
      <c r="M92" s="431" t="e">
        <v>#N/A</v>
      </c>
      <c r="N92" s="431" t="e">
        <v>#N/A</v>
      </c>
      <c r="O92" s="431" t="e">
        <v>#N/A</v>
      </c>
      <c r="P92" s="431" t="e">
        <v>#N/A</v>
      </c>
      <c r="Q92" s="431" t="e">
        <v>#N/A</v>
      </c>
      <c r="R92" s="431" t="e">
        <v>#N/A</v>
      </c>
      <c r="S92" s="432" t="e">
        <v>#N/A</v>
      </c>
      <c r="T92" s="436">
        <v>2.66</v>
      </c>
    </row>
    <row r="93" spans="1:20" s="24" customFormat="1">
      <c r="A93" s="13"/>
      <c r="B93" s="14" t="s">
        <v>53</v>
      </c>
      <c r="C93" s="15" t="s">
        <v>27</v>
      </c>
      <c r="D93" s="16">
        <v>3.3E-3</v>
      </c>
      <c r="E93" s="413">
        <v>4.5</v>
      </c>
    </row>
    <row r="94" spans="1:20" s="24" customFormat="1">
      <c r="A94" s="415"/>
      <c r="B94" s="393" t="s">
        <v>396</v>
      </c>
      <c r="C94" s="24" t="s">
        <v>27</v>
      </c>
      <c r="D94" s="435">
        <v>3.3E-3</v>
      </c>
      <c r="E94" s="413">
        <v>4.0999999999999996</v>
      </c>
      <c r="F94" s="24">
        <v>1.76</v>
      </c>
    </row>
    <row r="95" spans="1:20" s="24" customFormat="1">
      <c r="A95" s="415"/>
      <c r="B95" s="393" t="s">
        <v>397</v>
      </c>
      <c r="C95" s="24" t="s">
        <v>27</v>
      </c>
      <c r="D95" s="435">
        <v>3.5000000000000001E-3</v>
      </c>
      <c r="E95" s="413">
        <v>5</v>
      </c>
      <c r="F95" s="24">
        <v>1.72</v>
      </c>
    </row>
    <row r="96" spans="1:20" s="24" customFormat="1">
      <c r="A96" s="415"/>
      <c r="B96" s="393" t="s">
        <v>398</v>
      </c>
      <c r="C96" s="24" t="s">
        <v>27</v>
      </c>
      <c r="D96" s="435">
        <v>3.7000000000000002E-3</v>
      </c>
      <c r="E96" s="413">
        <v>3.5</v>
      </c>
      <c r="F96" s="24">
        <v>1.81</v>
      </c>
    </row>
    <row r="97" spans="1:21" s="24" customFormat="1">
      <c r="A97" s="415"/>
      <c r="B97" s="393" t="s">
        <v>399</v>
      </c>
      <c r="C97" s="24" t="s">
        <v>27</v>
      </c>
      <c r="D97" s="435">
        <v>3.5999999999999999E-3</v>
      </c>
      <c r="E97" s="413">
        <v>4.8</v>
      </c>
      <c r="F97" s="24">
        <v>1.89</v>
      </c>
    </row>
    <row r="98" spans="1:21" s="24" customFormat="1">
      <c r="A98" s="415"/>
      <c r="B98" s="393" t="s">
        <v>400</v>
      </c>
      <c r="C98" s="24" t="s">
        <v>27</v>
      </c>
      <c r="D98" s="435">
        <v>3.7000000000000002E-3</v>
      </c>
      <c r="E98" s="413">
        <v>5.2</v>
      </c>
      <c r="F98" s="24">
        <v>1.96</v>
      </c>
    </row>
    <row r="99" spans="1:21" s="24" customFormat="1">
      <c r="A99" s="415"/>
      <c r="B99" s="393" t="s">
        <v>401</v>
      </c>
      <c r="C99" s="24" t="s">
        <v>27</v>
      </c>
      <c r="D99" s="435">
        <v>3.8E-3</v>
      </c>
      <c r="E99" s="413">
        <v>5</v>
      </c>
      <c r="F99" s="24">
        <v>1.92</v>
      </c>
    </row>
    <row r="100" spans="1:21">
      <c r="B100" s="14" t="s">
        <v>330</v>
      </c>
      <c r="C100" s="15" t="s">
        <v>27</v>
      </c>
      <c r="D100" s="16">
        <v>2.0000000000000001E-4</v>
      </c>
      <c r="E100" s="413">
        <v>1</v>
      </c>
      <c r="G100" s="24"/>
    </row>
    <row r="101" spans="1:21" s="26" customFormat="1">
      <c r="A101" s="27" t="s">
        <v>54</v>
      </c>
      <c r="B101" s="28"/>
      <c r="C101" s="28"/>
      <c r="D101" s="29"/>
      <c r="E101" s="414"/>
      <c r="F101" s="31"/>
    </row>
    <row r="102" spans="1:21" s="26" customFormat="1">
      <c r="A102" s="13"/>
      <c r="B102" s="14" t="s">
        <v>55</v>
      </c>
      <c r="C102" s="15" t="s">
        <v>27</v>
      </c>
      <c r="D102" s="16">
        <v>0.27</v>
      </c>
      <c r="E102" s="413">
        <v>150</v>
      </c>
    </row>
    <row r="103" spans="1:21" s="26" customFormat="1">
      <c r="A103" s="13"/>
      <c r="B103" s="14" t="s">
        <v>56</v>
      </c>
      <c r="C103" s="15" t="s">
        <v>27</v>
      </c>
      <c r="D103" s="16">
        <v>1.5</v>
      </c>
      <c r="E103" s="413"/>
    </row>
    <row r="104" spans="1:21" s="26" customFormat="1">
      <c r="A104" s="13"/>
      <c r="B104" s="14" t="s">
        <v>57</v>
      </c>
      <c r="C104" s="15" t="s">
        <v>27</v>
      </c>
      <c r="D104" s="16">
        <v>4.5999999999999999E-3</v>
      </c>
      <c r="E104" s="413">
        <v>5</v>
      </c>
    </row>
    <row r="105" spans="1:21" s="26" customFormat="1">
      <c r="A105" s="13"/>
      <c r="B105" s="14" t="s">
        <v>58</v>
      </c>
      <c r="C105" s="15" t="s">
        <v>27</v>
      </c>
      <c r="D105" s="16">
        <v>0</v>
      </c>
      <c r="E105" s="413">
        <v>4</v>
      </c>
    </row>
    <row r="106" spans="1:21" s="26" customFormat="1">
      <c r="A106" s="13"/>
      <c r="B106" s="14" t="s">
        <v>59</v>
      </c>
      <c r="C106" s="15" t="s">
        <v>27</v>
      </c>
      <c r="D106" s="16">
        <v>6.0000000000000001E-3</v>
      </c>
      <c r="E106" s="413">
        <v>3</v>
      </c>
    </row>
    <row r="107" spans="1:21" s="26" customFormat="1">
      <c r="A107" s="13"/>
      <c r="B107" s="14" t="s">
        <v>60</v>
      </c>
      <c r="C107" s="15" t="s">
        <v>27</v>
      </c>
      <c r="D107" s="16">
        <v>0</v>
      </c>
      <c r="E107" s="413">
        <v>4</v>
      </c>
    </row>
    <row r="108" spans="1:21" s="26" customFormat="1">
      <c r="A108" s="13"/>
      <c r="B108" s="14" t="s">
        <v>61</v>
      </c>
      <c r="C108" s="15" t="s">
        <v>62</v>
      </c>
      <c r="D108" s="16">
        <v>0</v>
      </c>
      <c r="E108" s="413"/>
    </row>
    <row r="109" spans="1:21" s="26" customFormat="1">
      <c r="A109" s="13"/>
      <c r="B109" s="14" t="s">
        <v>63</v>
      </c>
      <c r="C109" s="15" t="s">
        <v>27</v>
      </c>
      <c r="D109" s="16">
        <v>0</v>
      </c>
      <c r="E109" s="413">
        <v>4</v>
      </c>
    </row>
    <row r="110" spans="1:21" s="26" customFormat="1">
      <c r="A110" s="13"/>
      <c r="B110" s="14" t="s">
        <v>64</v>
      </c>
      <c r="C110" s="15" t="s">
        <v>27</v>
      </c>
      <c r="D110" s="16">
        <v>1E-4</v>
      </c>
      <c r="E110" s="413">
        <v>3</v>
      </c>
      <c r="U110" s="26" t="s">
        <v>320</v>
      </c>
    </row>
    <row r="111" spans="1:21" s="26" customFormat="1">
      <c r="A111" s="13"/>
      <c r="B111" s="14" t="s">
        <v>364</v>
      </c>
      <c r="C111" s="15" t="s">
        <v>27</v>
      </c>
      <c r="D111" s="16">
        <f>7.4/1000</f>
        <v>7.4000000000000003E-3</v>
      </c>
      <c r="E111" s="413">
        <v>40</v>
      </c>
      <c r="G111" s="433">
        <v>82.8</v>
      </c>
      <c r="H111" s="434">
        <v>97</v>
      </c>
      <c r="I111" s="434">
        <v>99</v>
      </c>
      <c r="J111" s="434">
        <v>100</v>
      </c>
      <c r="K111" s="434" t="e">
        <v>#N/A</v>
      </c>
      <c r="L111" s="434" t="e">
        <v>#N/A</v>
      </c>
      <c r="M111" s="434" t="e">
        <v>#N/A</v>
      </c>
      <c r="N111" s="434" t="e">
        <v>#N/A</v>
      </c>
      <c r="O111" s="434" t="e">
        <v>#N/A</v>
      </c>
      <c r="P111" s="434" t="e">
        <v>#N/A</v>
      </c>
      <c r="Q111" s="434" t="e">
        <v>#N/A</v>
      </c>
      <c r="R111" s="434" t="e">
        <v>#N/A</v>
      </c>
      <c r="S111" s="434" t="e">
        <v>#N/A</v>
      </c>
      <c r="T111" s="436">
        <v>2.7</v>
      </c>
    </row>
    <row r="112" spans="1:21" s="26" customFormat="1">
      <c r="A112" s="13"/>
      <c r="B112" s="14" t="s">
        <v>405</v>
      </c>
      <c r="C112" s="15" t="s">
        <v>27</v>
      </c>
      <c r="D112" s="16">
        <v>2.3999999999999998E-3</v>
      </c>
      <c r="E112" s="413">
        <v>8</v>
      </c>
      <c r="G112" s="433">
        <v>10.333333333333334</v>
      </c>
      <c r="H112" s="434">
        <v>12.333333333333334</v>
      </c>
      <c r="I112" s="434">
        <v>15.666666666666666</v>
      </c>
      <c r="J112" s="434">
        <v>21.666666666666668</v>
      </c>
      <c r="K112" s="434">
        <v>27.666666666666668</v>
      </c>
      <c r="L112" s="434">
        <v>34.666666666666664</v>
      </c>
      <c r="M112" s="434">
        <v>44.333333333333336</v>
      </c>
      <c r="N112" s="434">
        <v>59.333333333333336</v>
      </c>
      <c r="O112" s="434">
        <v>72.666666666666671</v>
      </c>
      <c r="P112" s="434">
        <v>81.666666666666671</v>
      </c>
      <c r="Q112" s="434">
        <v>100</v>
      </c>
      <c r="R112" s="434" t="e">
        <v>#N/A</v>
      </c>
      <c r="S112" s="434" t="e">
        <v>#N/A</v>
      </c>
      <c r="T112" s="436">
        <v>2.71</v>
      </c>
      <c r="U112" s="437">
        <v>3.5</v>
      </c>
    </row>
    <row r="113" spans="1:21" s="26" customFormat="1">
      <c r="A113" s="13"/>
      <c r="B113" s="14" t="s">
        <v>406</v>
      </c>
      <c r="C113" s="15" t="s">
        <v>27</v>
      </c>
      <c r="D113" s="16">
        <v>2.3999999999999998E-3</v>
      </c>
      <c r="E113" s="413">
        <v>8</v>
      </c>
      <c r="G113" s="433">
        <v>10.333333333333334</v>
      </c>
      <c r="H113" s="434">
        <v>11</v>
      </c>
      <c r="I113" s="434">
        <v>15</v>
      </c>
      <c r="J113" s="434">
        <v>20</v>
      </c>
      <c r="K113" s="434">
        <v>30</v>
      </c>
      <c r="L113" s="434">
        <v>40</v>
      </c>
      <c r="M113" s="434">
        <v>50</v>
      </c>
      <c r="N113" s="434">
        <v>70</v>
      </c>
      <c r="O113" s="434">
        <v>95</v>
      </c>
      <c r="P113" s="434">
        <v>100</v>
      </c>
      <c r="Q113" s="434" t="e">
        <v>#N/A</v>
      </c>
      <c r="R113" s="434" t="e">
        <v>#N/A</v>
      </c>
      <c r="S113" s="434" t="e">
        <v>#N/A</v>
      </c>
      <c r="T113" s="436">
        <v>2.71</v>
      </c>
      <c r="U113" s="437">
        <v>3.8</v>
      </c>
    </row>
    <row r="114" spans="1:21" s="26" customFormat="1">
      <c r="A114" s="13"/>
      <c r="B114" s="14" t="s">
        <v>65</v>
      </c>
      <c r="C114" s="15" t="s">
        <v>27</v>
      </c>
      <c r="D114" s="16">
        <v>0</v>
      </c>
      <c r="E114" s="413"/>
    </row>
    <row r="115" spans="1:21" s="26" customFormat="1">
      <c r="A115" s="13"/>
      <c r="B115" s="14" t="s">
        <v>331</v>
      </c>
      <c r="C115" s="15" t="s">
        <v>27</v>
      </c>
      <c r="D115" s="16">
        <v>5.0000000000000001E-4</v>
      </c>
      <c r="E115" s="413">
        <v>9</v>
      </c>
    </row>
    <row r="116" spans="1:21" s="26" customFormat="1">
      <c r="A116" s="13"/>
      <c r="B116" s="14" t="s">
        <v>66</v>
      </c>
      <c r="C116" s="15" t="s">
        <v>27</v>
      </c>
      <c r="D116" s="16">
        <v>1.8E-3</v>
      </c>
      <c r="E116" s="413"/>
    </row>
    <row r="117" spans="1:21" s="26" customFormat="1">
      <c r="A117" s="13"/>
      <c r="B117" s="14"/>
      <c r="C117" s="15"/>
      <c r="D117" s="16"/>
      <c r="E117" s="413"/>
    </row>
    <row r="118" spans="1:21" s="26" customFormat="1">
      <c r="A118" s="20" t="s">
        <v>335</v>
      </c>
      <c r="B118" s="34"/>
      <c r="C118" s="34"/>
      <c r="D118" s="33"/>
      <c r="E118" s="34"/>
      <c r="F118" s="35"/>
    </row>
    <row r="119" spans="1:21" s="26" customFormat="1">
      <c r="A119" s="13"/>
      <c r="B119" s="14" t="s">
        <v>336</v>
      </c>
      <c r="C119" s="15" t="s">
        <v>27</v>
      </c>
      <c r="D119" s="15">
        <v>0.72099999999999997</v>
      </c>
      <c r="E119" s="413">
        <v>130</v>
      </c>
      <c r="F119" s="422"/>
    </row>
    <row r="120" spans="1:21" s="26" customFormat="1">
      <c r="A120" s="13"/>
      <c r="B120" s="14" t="s">
        <v>337</v>
      </c>
      <c r="C120" s="15" t="s">
        <v>27</v>
      </c>
      <c r="D120" s="15">
        <v>0.81699999999999995</v>
      </c>
      <c r="E120" s="413">
        <v>160</v>
      </c>
      <c r="F120" s="422"/>
    </row>
    <row r="121" spans="1:21" s="26" customFormat="1">
      <c r="A121" s="13"/>
      <c r="B121" s="393" t="s">
        <v>338</v>
      </c>
      <c r="C121" s="24" t="s">
        <v>27</v>
      </c>
      <c r="D121" s="24">
        <v>0.70499999999999996</v>
      </c>
      <c r="E121" s="413">
        <v>110</v>
      </c>
      <c r="F121" s="422"/>
    </row>
    <row r="122" spans="1:21" s="26" customFormat="1">
      <c r="A122" s="415"/>
      <c r="B122" s="393" t="s">
        <v>339</v>
      </c>
      <c r="C122" s="24" t="s">
        <v>27</v>
      </c>
      <c r="D122" s="24">
        <v>0.44600000000000001</v>
      </c>
      <c r="E122" s="413">
        <v>110</v>
      </c>
      <c r="F122" s="422"/>
    </row>
    <row r="123" spans="1:21" s="26" customFormat="1">
      <c r="A123" s="415"/>
      <c r="B123" s="393" t="s">
        <v>364</v>
      </c>
      <c r="C123" s="24" t="s">
        <v>27</v>
      </c>
      <c r="D123" s="423">
        <f>7.4/1000</f>
        <v>7.4000000000000003E-3</v>
      </c>
      <c r="E123" s="413">
        <v>50</v>
      </c>
      <c r="F123" s="422"/>
    </row>
    <row r="124" spans="1:21" s="26" customFormat="1">
      <c r="A124" s="415"/>
      <c r="B124" s="393" t="s">
        <v>395</v>
      </c>
      <c r="C124" s="24" t="s">
        <v>27</v>
      </c>
      <c r="D124" s="423">
        <f>530/1000</f>
        <v>0.53</v>
      </c>
      <c r="E124" s="413">
        <v>428</v>
      </c>
      <c r="F124" s="422"/>
      <c r="T124" s="436">
        <v>1.03</v>
      </c>
    </row>
    <row r="125" spans="1:21" s="26" customFormat="1">
      <c r="A125" s="415"/>
      <c r="B125" s="393" t="s">
        <v>394</v>
      </c>
      <c r="C125" s="24" t="s">
        <v>27</v>
      </c>
      <c r="D125" s="423">
        <f t="shared" ref="D125:D126" si="0">530/1000</f>
        <v>0.53</v>
      </c>
      <c r="E125" s="413">
        <v>428</v>
      </c>
      <c r="F125" s="422"/>
      <c r="T125" s="436">
        <v>1.03</v>
      </c>
    </row>
    <row r="126" spans="1:21" s="26" customFormat="1">
      <c r="A126" s="415"/>
      <c r="B126" s="393" t="s">
        <v>393</v>
      </c>
      <c r="C126" s="24" t="s">
        <v>27</v>
      </c>
      <c r="D126" s="423">
        <f t="shared" si="0"/>
        <v>0.53</v>
      </c>
      <c r="E126" s="413">
        <v>428</v>
      </c>
      <c r="F126" s="422"/>
      <c r="T126" s="436">
        <v>1.03</v>
      </c>
    </row>
    <row r="127" spans="1:21" s="26" customFormat="1">
      <c r="A127" s="13"/>
      <c r="B127" s="393" t="s">
        <v>363</v>
      </c>
      <c r="C127" s="24" t="s">
        <v>27</v>
      </c>
      <c r="D127" s="423">
        <f>610/1000</f>
        <v>0.61</v>
      </c>
      <c r="E127" s="413">
        <v>528</v>
      </c>
      <c r="F127" s="422"/>
      <c r="T127" s="436">
        <v>1.03</v>
      </c>
    </row>
    <row r="128" spans="1:21" s="26" customFormat="1">
      <c r="A128" s="13"/>
      <c r="B128" s="14"/>
      <c r="C128" s="15"/>
      <c r="D128" s="16"/>
      <c r="E128" s="413"/>
      <c r="F128" s="422"/>
    </row>
    <row r="129" spans="1:6" s="26" customFormat="1">
      <c r="A129" s="27" t="s">
        <v>67</v>
      </c>
      <c r="B129" s="28"/>
      <c r="C129" s="28"/>
      <c r="D129" s="29"/>
      <c r="E129" s="26" t="s">
        <v>332</v>
      </c>
    </row>
    <row r="130" spans="1:6" s="26" customFormat="1">
      <c r="A130" s="13"/>
      <c r="B130" s="32" t="s">
        <v>68</v>
      </c>
      <c r="C130" s="30" t="s">
        <v>27</v>
      </c>
      <c r="D130" s="31">
        <v>3.23</v>
      </c>
      <c r="E130" s="413">
        <v>10.666666666666668</v>
      </c>
      <c r="F130" s="418">
        <v>0.15</v>
      </c>
    </row>
    <row r="131" spans="1:6" s="26" customFormat="1">
      <c r="A131" s="13"/>
      <c r="B131" s="32" t="s">
        <v>69</v>
      </c>
      <c r="C131" s="30" t="s">
        <v>27</v>
      </c>
      <c r="D131" s="31">
        <v>0.81499999999999995</v>
      </c>
      <c r="E131" s="413">
        <v>2</v>
      </c>
      <c r="F131" s="418">
        <v>0.35</v>
      </c>
    </row>
    <row r="132" spans="1:6" s="26" customFormat="1">
      <c r="A132" s="13"/>
      <c r="B132" s="32" t="s">
        <v>70</v>
      </c>
      <c r="C132" s="30" t="s">
        <v>27</v>
      </c>
      <c r="D132" s="31">
        <v>2.64</v>
      </c>
      <c r="E132" s="413">
        <v>4</v>
      </c>
      <c r="F132" s="418"/>
    </row>
    <row r="133" spans="1:6" s="26" customFormat="1">
      <c r="A133" s="13"/>
      <c r="B133" s="32" t="s">
        <v>71</v>
      </c>
      <c r="C133" s="30" t="s">
        <v>27</v>
      </c>
      <c r="D133" s="31">
        <v>3.85</v>
      </c>
      <c r="E133" s="413">
        <v>4.2857142857142856</v>
      </c>
      <c r="F133" s="418"/>
    </row>
    <row r="134" spans="1:6" s="24" customFormat="1">
      <c r="A134" s="415"/>
      <c r="B134" s="416" t="s">
        <v>333</v>
      </c>
      <c r="C134" s="411" t="s">
        <v>27</v>
      </c>
      <c r="D134" s="417">
        <v>2.4900000000000002</v>
      </c>
      <c r="E134" s="413">
        <v>6.666666666666667</v>
      </c>
      <c r="F134" s="25"/>
    </row>
    <row r="135" spans="1:6" s="26" customFormat="1">
      <c r="A135" s="13"/>
      <c r="B135" s="32" t="s">
        <v>334</v>
      </c>
      <c r="C135" s="30" t="s">
        <v>27</v>
      </c>
      <c r="D135" s="31">
        <v>2.4900000000000002</v>
      </c>
      <c r="E135" s="413"/>
      <c r="F135" s="418"/>
    </row>
    <row r="136" spans="1:6" s="26" customFormat="1">
      <c r="A136" s="13"/>
      <c r="B136" s="32" t="s">
        <v>72</v>
      </c>
      <c r="C136" s="30" t="s">
        <v>27</v>
      </c>
      <c r="D136" s="31">
        <v>3.02</v>
      </c>
      <c r="E136" s="413">
        <v>6</v>
      </c>
      <c r="F136" s="418"/>
    </row>
    <row r="137" spans="1:6" s="26" customFormat="1">
      <c r="A137" s="13"/>
      <c r="B137" s="32" t="s">
        <v>73</v>
      </c>
      <c r="C137" s="30" t="s">
        <v>27</v>
      </c>
      <c r="D137" s="31">
        <v>2.7</v>
      </c>
      <c r="E137" s="413">
        <v>2.5</v>
      </c>
      <c r="F137" s="418"/>
    </row>
    <row r="138" spans="1:6" s="26" customFormat="1">
      <c r="A138" s="13"/>
      <c r="B138" s="32"/>
      <c r="C138" s="30"/>
      <c r="D138" s="31"/>
      <c r="E138" s="413"/>
    </row>
    <row r="139" spans="1:6" s="26" customFormat="1">
      <c r="A139" s="20" t="s">
        <v>74</v>
      </c>
      <c r="B139" s="33"/>
      <c r="C139" s="34"/>
      <c r="D139" s="35"/>
      <c r="E139" s="413"/>
    </row>
    <row r="140" spans="1:6" s="26" customFormat="1">
      <c r="A140" s="13">
        <v>7100000974</v>
      </c>
      <c r="B140" s="36" t="s">
        <v>75</v>
      </c>
      <c r="C140" s="15" t="s">
        <v>10</v>
      </c>
      <c r="D140" s="16">
        <v>185</v>
      </c>
      <c r="E140" s="413"/>
    </row>
    <row r="141" spans="1:6" s="26" customFormat="1">
      <c r="A141" s="13"/>
      <c r="B141" s="14" t="s">
        <v>76</v>
      </c>
      <c r="C141" s="15" t="s">
        <v>27</v>
      </c>
      <c r="D141" s="16">
        <v>7.3999999999999996E-2</v>
      </c>
      <c r="E141" s="413"/>
    </row>
    <row r="142" spans="1:6" s="26" customFormat="1">
      <c r="A142" s="13">
        <v>7100000001</v>
      </c>
      <c r="B142" s="36" t="s">
        <v>77</v>
      </c>
      <c r="C142" s="15" t="s">
        <v>10</v>
      </c>
      <c r="D142" s="16">
        <v>210</v>
      </c>
      <c r="E142" s="413"/>
    </row>
    <row r="143" spans="1:6" s="26" customFormat="1">
      <c r="A143" s="13"/>
      <c r="B143" s="14" t="s">
        <v>78</v>
      </c>
      <c r="C143" s="15" t="s">
        <v>27</v>
      </c>
      <c r="D143" s="16">
        <v>8.7999999999999995E-2</v>
      </c>
      <c r="E143" s="413"/>
    </row>
    <row r="144" spans="1:6" s="26" customFormat="1">
      <c r="A144" s="13">
        <v>7100000002</v>
      </c>
      <c r="B144" s="36" t="s">
        <v>79</v>
      </c>
      <c r="C144" s="15" t="s">
        <v>10</v>
      </c>
      <c r="D144" s="16">
        <v>230</v>
      </c>
      <c r="E144" s="413"/>
    </row>
    <row r="145" spans="1:5" s="26" customFormat="1">
      <c r="A145" s="13"/>
      <c r="B145" s="14" t="s">
        <v>80</v>
      </c>
      <c r="C145" s="15" t="s">
        <v>27</v>
      </c>
      <c r="D145" s="16">
        <v>9.6000000000000002E-2</v>
      </c>
      <c r="E145" s="413"/>
    </row>
    <row r="146" spans="1:5" s="26" customFormat="1">
      <c r="A146" s="13">
        <v>7100000003</v>
      </c>
      <c r="B146" s="36" t="s">
        <v>81</v>
      </c>
      <c r="C146" s="15" t="s">
        <v>10</v>
      </c>
      <c r="D146" s="16">
        <v>255</v>
      </c>
      <c r="E146" s="413"/>
    </row>
    <row r="147" spans="1:5" s="26" customFormat="1">
      <c r="A147" s="13"/>
      <c r="B147" s="14" t="s">
        <v>82</v>
      </c>
      <c r="C147" s="15" t="s">
        <v>27</v>
      </c>
      <c r="D147" s="16">
        <v>0.106</v>
      </c>
      <c r="E147" s="413"/>
    </row>
    <row r="148" spans="1:5" s="26" customFormat="1">
      <c r="A148" s="13">
        <v>7100000004</v>
      </c>
      <c r="B148" s="36" t="s">
        <v>83</v>
      </c>
      <c r="C148" s="15" t="s">
        <v>10</v>
      </c>
      <c r="D148" s="16">
        <v>285</v>
      </c>
      <c r="E148" s="413"/>
    </row>
    <row r="149" spans="1:5" s="26" customFormat="1">
      <c r="A149" s="13"/>
      <c r="B149" s="14" t="s">
        <v>84</v>
      </c>
      <c r="C149" s="15" t="s">
        <v>27</v>
      </c>
      <c r="D149" s="16">
        <v>0.11899999999999999</v>
      </c>
      <c r="E149" s="413"/>
    </row>
    <row r="150" spans="1:5" s="26" customFormat="1">
      <c r="A150" s="13">
        <v>7100000005</v>
      </c>
      <c r="B150" s="36" t="s">
        <v>85</v>
      </c>
      <c r="C150" s="15" t="s">
        <v>10</v>
      </c>
      <c r="D150" s="16">
        <v>320</v>
      </c>
      <c r="E150" s="413"/>
    </row>
    <row r="151" spans="1:5" s="26" customFormat="1">
      <c r="A151" s="13"/>
      <c r="B151" s="14" t="s">
        <v>86</v>
      </c>
      <c r="C151" s="15" t="s">
        <v>27</v>
      </c>
      <c r="D151" s="16">
        <v>0.13300000000000001</v>
      </c>
      <c r="E151" s="413"/>
    </row>
    <row r="152" spans="1:5" s="26" customFormat="1">
      <c r="A152" s="13">
        <v>7100000010</v>
      </c>
      <c r="B152" s="36" t="s">
        <v>87</v>
      </c>
      <c r="C152" s="15" t="s">
        <v>10</v>
      </c>
      <c r="D152" s="16">
        <v>395</v>
      </c>
      <c r="E152" s="413"/>
    </row>
    <row r="153" spans="1:5" s="26" customFormat="1">
      <c r="A153" s="13"/>
      <c r="B153" s="14" t="s">
        <v>88</v>
      </c>
      <c r="C153" s="15" t="s">
        <v>27</v>
      </c>
      <c r="D153" s="16">
        <v>0.17399999999999999</v>
      </c>
      <c r="E153" s="413"/>
    </row>
    <row r="154" spans="1:5" s="26" customFormat="1">
      <c r="A154" s="13"/>
      <c r="B154" s="14" t="s">
        <v>89</v>
      </c>
      <c r="C154" s="15"/>
      <c r="D154" s="16">
        <v>0.16</v>
      </c>
      <c r="E154" s="413"/>
    </row>
    <row r="155" spans="1:5" s="26" customFormat="1">
      <c r="A155" s="13"/>
      <c r="B155" s="32"/>
      <c r="C155" s="30"/>
      <c r="D155" s="31"/>
      <c r="E155" s="413"/>
    </row>
    <row r="156" spans="1:5" s="26" customFormat="1">
      <c r="A156" s="27" t="s">
        <v>90</v>
      </c>
      <c r="B156" s="29"/>
      <c r="C156" s="28"/>
      <c r="D156" s="37"/>
      <c r="E156" s="413"/>
    </row>
    <row r="157" spans="1:5" s="26" customFormat="1">
      <c r="A157" s="13"/>
      <c r="B157" s="32" t="s">
        <v>91</v>
      </c>
      <c r="C157" s="30" t="s">
        <v>27</v>
      </c>
      <c r="D157" s="31">
        <v>0.24099999999999999</v>
      </c>
      <c r="E157" s="413"/>
    </row>
    <row r="158" spans="1:5" s="26" customFormat="1">
      <c r="A158" s="13"/>
      <c r="B158" s="32" t="s">
        <v>92</v>
      </c>
      <c r="C158" s="30" t="s">
        <v>27</v>
      </c>
      <c r="D158" s="31">
        <v>0.104</v>
      </c>
      <c r="E158" s="413"/>
    </row>
    <row r="159" spans="1:5" s="26" customFormat="1">
      <c r="A159" s="13"/>
      <c r="B159" s="32" t="s">
        <v>93</v>
      </c>
      <c r="C159" s="30" t="s">
        <v>27</v>
      </c>
      <c r="D159" s="31">
        <f>D132</f>
        <v>2.64</v>
      </c>
      <c r="E159" s="413"/>
    </row>
    <row r="160" spans="1:5" s="26" customFormat="1">
      <c r="A160" s="13"/>
      <c r="B160" s="32" t="s">
        <v>94</v>
      </c>
      <c r="C160" s="30" t="s">
        <v>27</v>
      </c>
      <c r="D160" s="31">
        <v>4.0000000000000001E-3</v>
      </c>
      <c r="E160" s="413"/>
    </row>
    <row r="161" spans="1:5" s="26" customFormat="1">
      <c r="A161" s="13"/>
      <c r="B161" s="32"/>
      <c r="C161" s="30"/>
      <c r="D161" s="31"/>
      <c r="E161" s="413"/>
    </row>
    <row r="162" spans="1:5" s="26" customFormat="1">
      <c r="A162" s="27" t="s">
        <v>95</v>
      </c>
      <c r="B162" s="28"/>
      <c r="C162" s="28"/>
      <c r="D162" s="29"/>
      <c r="E162" s="413"/>
    </row>
    <row r="163" spans="1:5" s="26" customFormat="1">
      <c r="A163" s="13"/>
      <c r="B163" s="32" t="s">
        <v>96</v>
      </c>
      <c r="C163" s="30" t="s">
        <v>27</v>
      </c>
      <c r="D163" s="31">
        <v>2.27</v>
      </c>
      <c r="E163" s="413"/>
    </row>
    <row r="164" spans="1:5" s="26" customFormat="1">
      <c r="A164" s="13"/>
      <c r="B164" s="32" t="s">
        <v>97</v>
      </c>
      <c r="C164" s="30" t="s">
        <v>27</v>
      </c>
      <c r="D164" s="31">
        <v>0.16</v>
      </c>
      <c r="E164" s="413"/>
    </row>
    <row r="165" spans="1:5" s="26" customFormat="1">
      <c r="A165" s="13"/>
      <c r="B165" s="32" t="s">
        <v>98</v>
      </c>
      <c r="C165" s="30" t="s">
        <v>27</v>
      </c>
      <c r="D165" s="31">
        <v>3.6</v>
      </c>
      <c r="E165" s="413"/>
    </row>
    <row r="166" spans="1:5" s="26" customFormat="1">
      <c r="A166" s="13"/>
      <c r="B166" s="32" t="s">
        <v>99</v>
      </c>
      <c r="C166" s="30" t="s">
        <v>27</v>
      </c>
      <c r="D166" s="31">
        <v>3.2</v>
      </c>
      <c r="E166" s="413"/>
    </row>
    <row r="167" spans="1:5" s="26" customFormat="1">
      <c r="A167" s="13"/>
      <c r="B167" s="32" t="s">
        <v>100</v>
      </c>
      <c r="C167" s="30" t="s">
        <v>27</v>
      </c>
      <c r="D167" s="31">
        <v>1.7</v>
      </c>
      <c r="E167" s="413"/>
    </row>
    <row r="168" spans="1:5" s="26" customFormat="1">
      <c r="A168" s="13"/>
      <c r="B168" s="32" t="s">
        <v>101</v>
      </c>
      <c r="C168" s="30" t="s">
        <v>27</v>
      </c>
      <c r="D168" s="31">
        <v>5.89</v>
      </c>
      <c r="E168" s="413"/>
    </row>
    <row r="169" spans="1:5" s="26" customFormat="1">
      <c r="A169" s="13"/>
      <c r="B169" s="32" t="s">
        <v>102</v>
      </c>
      <c r="C169" s="30" t="s">
        <v>27</v>
      </c>
      <c r="D169" s="31">
        <v>4.16</v>
      </c>
      <c r="E169" s="413"/>
    </row>
    <row r="170" spans="1:5" s="26" customFormat="1">
      <c r="A170" s="13"/>
      <c r="B170" s="32" t="s">
        <v>103</v>
      </c>
      <c r="C170" s="30" t="s">
        <v>27</v>
      </c>
      <c r="D170" s="31">
        <v>3.52</v>
      </c>
      <c r="E170" s="413"/>
    </row>
    <row r="171" spans="1:5" s="26" customFormat="1">
      <c r="A171" s="13"/>
      <c r="B171" s="32"/>
      <c r="C171" s="30"/>
      <c r="D171" s="31"/>
      <c r="E171" s="413"/>
    </row>
    <row r="172" spans="1:5" s="26" customFormat="1">
      <c r="A172" s="13"/>
      <c r="B172" s="32"/>
      <c r="C172" s="30"/>
      <c r="D172" s="31"/>
      <c r="E172" s="413"/>
    </row>
    <row r="173" spans="1:5" s="26" customFormat="1">
      <c r="A173" s="27" t="s">
        <v>104</v>
      </c>
      <c r="B173" s="29"/>
      <c r="C173" s="28"/>
      <c r="D173" s="37"/>
      <c r="E173" s="413"/>
    </row>
    <row r="174" spans="1:5" s="26" customFormat="1">
      <c r="A174" s="13"/>
      <c r="B174" s="32" t="s">
        <v>105</v>
      </c>
      <c r="C174" s="30" t="s">
        <v>27</v>
      </c>
      <c r="D174" s="31">
        <v>2.27</v>
      </c>
      <c r="E174" s="413"/>
    </row>
    <row r="175" spans="1:5" s="26" customFormat="1">
      <c r="A175" s="13"/>
      <c r="B175" s="32" t="s">
        <v>106</v>
      </c>
      <c r="C175" s="30" t="s">
        <v>27</v>
      </c>
      <c r="D175" s="31">
        <v>2.9</v>
      </c>
      <c r="E175" s="413"/>
    </row>
    <row r="176" spans="1:5" s="26" customFormat="1">
      <c r="A176" s="13"/>
      <c r="B176" s="32" t="s">
        <v>107</v>
      </c>
      <c r="C176" s="30" t="s">
        <v>27</v>
      </c>
      <c r="D176" s="31">
        <v>4.2</v>
      </c>
      <c r="E176" s="413"/>
    </row>
    <row r="177" spans="1:5" s="26" customFormat="1">
      <c r="A177" s="13"/>
      <c r="B177" s="32" t="s">
        <v>108</v>
      </c>
      <c r="C177" s="30" t="s">
        <v>27</v>
      </c>
      <c r="D177" s="31">
        <v>5.3</v>
      </c>
      <c r="E177" s="413"/>
    </row>
    <row r="178" spans="1:5" s="26" customFormat="1">
      <c r="A178" s="13"/>
      <c r="B178" s="32" t="s">
        <v>109</v>
      </c>
      <c r="C178" s="30" t="s">
        <v>27</v>
      </c>
      <c r="D178" s="31">
        <v>3.2</v>
      </c>
      <c r="E178" s="413"/>
    </row>
    <row r="179" spans="1:5" s="26" customFormat="1">
      <c r="A179" s="13"/>
      <c r="B179" s="32"/>
      <c r="C179" s="30"/>
      <c r="D179" s="31"/>
      <c r="E179" s="413"/>
    </row>
    <row r="180" spans="1:5" s="26" customFormat="1">
      <c r="A180" s="27" t="s">
        <v>110</v>
      </c>
      <c r="B180" s="29"/>
      <c r="C180" s="28"/>
      <c r="D180" s="37"/>
      <c r="E180" s="413"/>
    </row>
    <row r="181" spans="1:5" s="26" customFormat="1">
      <c r="A181" s="13"/>
      <c r="B181" s="32" t="s">
        <v>111</v>
      </c>
      <c r="C181" s="30" t="s">
        <v>27</v>
      </c>
      <c r="D181" s="31">
        <v>3.2</v>
      </c>
      <c r="E181" s="413"/>
    </row>
    <row r="182" spans="1:5" s="26" customFormat="1">
      <c r="A182" s="13"/>
      <c r="B182" s="32" t="s">
        <v>112</v>
      </c>
      <c r="C182" s="30" t="s">
        <v>27</v>
      </c>
      <c r="D182" s="31">
        <v>0.49</v>
      </c>
      <c r="E182" s="413"/>
    </row>
    <row r="183" spans="1:5" s="26" customFormat="1">
      <c r="A183" s="13"/>
      <c r="B183" s="32" t="s">
        <v>113</v>
      </c>
      <c r="C183" s="30" t="s">
        <v>27</v>
      </c>
      <c r="D183" s="31">
        <v>0.16</v>
      </c>
      <c r="E183" s="413"/>
    </row>
    <row r="184" spans="1:5" s="26" customFormat="1">
      <c r="A184" s="13"/>
      <c r="B184" s="32" t="s">
        <v>114</v>
      </c>
      <c r="C184" s="30" t="s">
        <v>27</v>
      </c>
      <c r="D184" s="31">
        <v>3.2</v>
      </c>
      <c r="E184" s="413"/>
    </row>
    <row r="185" spans="1:5" s="26" customFormat="1">
      <c r="A185" s="13"/>
      <c r="B185" s="32" t="s">
        <v>115</v>
      </c>
      <c r="C185" s="30" t="s">
        <v>0</v>
      </c>
      <c r="D185" s="31">
        <v>3.2</v>
      </c>
      <c r="E185" s="413"/>
    </row>
    <row r="186" spans="1:5" s="26" customFormat="1">
      <c r="A186" s="13"/>
      <c r="B186" s="32" t="s">
        <v>116</v>
      </c>
      <c r="C186" s="30" t="s">
        <v>27</v>
      </c>
      <c r="D186" s="31">
        <v>4</v>
      </c>
      <c r="E186" s="413"/>
    </row>
    <row r="187" spans="1:5" s="26" customFormat="1">
      <c r="A187" s="13"/>
      <c r="B187" s="32" t="s">
        <v>117</v>
      </c>
      <c r="C187" s="30" t="s">
        <v>27</v>
      </c>
      <c r="D187" s="31">
        <v>2.27</v>
      </c>
      <c r="E187" s="413"/>
    </row>
    <row r="188" spans="1:5">
      <c r="A188" s="17"/>
      <c r="B188" s="32"/>
      <c r="C188" s="30"/>
      <c r="D188" s="31"/>
    </row>
    <row r="189" spans="1:5">
      <c r="A189" s="17"/>
      <c r="B189" s="32" t="s">
        <v>118</v>
      </c>
      <c r="C189" s="30" t="s">
        <v>27</v>
      </c>
      <c r="D189" s="31">
        <v>4</v>
      </c>
    </row>
    <row r="190" spans="1:5">
      <c r="A190" s="17"/>
      <c r="B190" s="32" t="s">
        <v>119</v>
      </c>
      <c r="C190" s="30" t="s">
        <v>27</v>
      </c>
      <c r="D190" s="31">
        <v>5</v>
      </c>
    </row>
    <row r="191" spans="1:5">
      <c r="A191" s="17"/>
      <c r="B191" s="32" t="s">
        <v>120</v>
      </c>
      <c r="C191" s="30" t="s">
        <v>27</v>
      </c>
      <c r="D191" s="31">
        <v>4.67</v>
      </c>
    </row>
    <row r="192" spans="1:5">
      <c r="A192" s="17"/>
      <c r="B192" s="32" t="s">
        <v>121</v>
      </c>
      <c r="C192" s="30" t="s">
        <v>27</v>
      </c>
      <c r="D192" s="31">
        <v>3</v>
      </c>
    </row>
    <row r="193" spans="1:6">
      <c r="A193" s="17"/>
      <c r="B193" s="32"/>
      <c r="C193" s="30"/>
      <c r="D193" s="31"/>
    </row>
    <row r="194" spans="1:6">
      <c r="A194" s="38" t="s">
        <v>122</v>
      </c>
      <c r="B194" s="29"/>
      <c r="C194" s="28"/>
      <c r="D194" s="37"/>
    </row>
    <row r="195" spans="1:6">
      <c r="B195" s="32" t="s">
        <v>123</v>
      </c>
      <c r="C195" s="30" t="s">
        <v>27</v>
      </c>
      <c r="D195" s="31">
        <v>0.02</v>
      </c>
    </row>
    <row r="196" spans="1:6">
      <c r="B196" s="32" t="s">
        <v>124</v>
      </c>
      <c r="C196" s="30" t="s">
        <v>10</v>
      </c>
      <c r="D196" s="31">
        <v>8.6999999999999993</v>
      </c>
    </row>
    <row r="197" spans="1:6">
      <c r="B197" s="32" t="s">
        <v>125</v>
      </c>
      <c r="C197" s="30" t="s">
        <v>27</v>
      </c>
      <c r="D197" s="31">
        <v>9.0999999999999998E-2</v>
      </c>
    </row>
    <row r="198" spans="1:6">
      <c r="B198" s="32" t="s">
        <v>126</v>
      </c>
      <c r="C198" s="30" t="s">
        <v>27</v>
      </c>
      <c r="D198" s="31">
        <v>1.7500000000000002E-2</v>
      </c>
    </row>
    <row r="199" spans="1:6">
      <c r="B199" s="32" t="s">
        <v>127</v>
      </c>
      <c r="C199" s="30" t="s">
        <v>27</v>
      </c>
      <c r="D199" s="31">
        <v>3.6</v>
      </c>
    </row>
    <row r="200" spans="1:6">
      <c r="B200" s="32" t="s">
        <v>128</v>
      </c>
      <c r="C200" s="30" t="s">
        <v>27</v>
      </c>
      <c r="D200" s="31">
        <v>2.7</v>
      </c>
    </row>
    <row r="201" spans="1:6">
      <c r="B201" s="32" t="s">
        <v>129</v>
      </c>
      <c r="C201" s="30" t="s">
        <v>27</v>
      </c>
      <c r="D201" s="31">
        <v>2.27</v>
      </c>
    </row>
    <row r="202" spans="1:6">
      <c r="B202" s="32" t="s">
        <v>130</v>
      </c>
      <c r="C202" s="30" t="s">
        <v>27</v>
      </c>
      <c r="D202" s="31">
        <v>1.7</v>
      </c>
    </row>
    <row r="203" spans="1:6">
      <c r="B203" s="32"/>
      <c r="C203" s="30"/>
      <c r="D203" s="31"/>
      <c r="F203" s="39"/>
    </row>
    <row r="204" spans="1:6">
      <c r="A204" s="38" t="s">
        <v>131</v>
      </c>
      <c r="B204" s="29"/>
      <c r="C204" s="28"/>
      <c r="D204" s="37"/>
    </row>
    <row r="205" spans="1:6">
      <c r="B205" s="32" t="s">
        <v>132</v>
      </c>
      <c r="C205" s="30" t="s">
        <v>27</v>
      </c>
      <c r="D205" s="31">
        <v>2.7</v>
      </c>
    </row>
    <row r="206" spans="1:6">
      <c r="B206" s="32" t="s">
        <v>133</v>
      </c>
      <c r="C206" s="30" t="s">
        <v>27</v>
      </c>
      <c r="D206" s="31">
        <v>2.7</v>
      </c>
    </row>
    <row r="207" spans="1:6">
      <c r="B207" s="32" t="s">
        <v>134</v>
      </c>
      <c r="C207" s="30" t="s">
        <v>27</v>
      </c>
      <c r="D207" s="31">
        <v>2.7</v>
      </c>
    </row>
    <row r="208" spans="1:6">
      <c r="B208" s="32"/>
      <c r="C208" s="30"/>
      <c r="D208" s="31"/>
    </row>
    <row r="209" spans="1:4">
      <c r="A209" s="38" t="s">
        <v>135</v>
      </c>
      <c r="B209" s="29"/>
      <c r="C209" s="28"/>
      <c r="D209" s="37"/>
    </row>
    <row r="210" spans="1:4">
      <c r="B210" s="32" t="s">
        <v>136</v>
      </c>
      <c r="C210" s="30" t="s">
        <v>27</v>
      </c>
      <c r="D210" s="31">
        <v>0.4</v>
      </c>
    </row>
    <row r="211" spans="1:4">
      <c r="B211" s="32" t="s">
        <v>137</v>
      </c>
      <c r="C211" s="30" t="s">
        <v>27</v>
      </c>
      <c r="D211" s="31">
        <v>0.49</v>
      </c>
    </row>
    <row r="212" spans="1:4">
      <c r="B212" s="32" t="s">
        <v>138</v>
      </c>
      <c r="C212" s="30" t="s">
        <v>27</v>
      </c>
      <c r="D212" s="31">
        <v>0.42</v>
      </c>
    </row>
    <row r="213" spans="1:4">
      <c r="B213" s="32" t="s">
        <v>139</v>
      </c>
      <c r="C213" s="30" t="s">
        <v>27</v>
      </c>
      <c r="D213" s="31">
        <v>0.17</v>
      </c>
    </row>
    <row r="214" spans="1:4">
      <c r="B214" s="32" t="s">
        <v>140</v>
      </c>
      <c r="C214" s="30" t="s">
        <v>27</v>
      </c>
      <c r="D214" s="31">
        <v>6.7000000000000004E-2</v>
      </c>
    </row>
    <row r="215" spans="1:4">
      <c r="B215" s="32" t="s">
        <v>141</v>
      </c>
      <c r="C215" s="30" t="s">
        <v>27</v>
      </c>
      <c r="D215" s="31">
        <v>0.12</v>
      </c>
    </row>
    <row r="216" spans="1:4">
      <c r="B216" s="32"/>
      <c r="C216" s="30"/>
      <c r="D216" s="31"/>
    </row>
    <row r="217" spans="1:4">
      <c r="A217" s="27" t="s">
        <v>142</v>
      </c>
      <c r="B217" s="29"/>
      <c r="C217" s="28"/>
      <c r="D217" s="37"/>
    </row>
    <row r="218" spans="1:4">
      <c r="B218" s="32" t="s">
        <v>143</v>
      </c>
      <c r="C218" s="30" t="s">
        <v>27</v>
      </c>
      <c r="D218" s="31">
        <v>2.27</v>
      </c>
    </row>
    <row r="219" spans="1:4">
      <c r="B219" s="32" t="s">
        <v>144</v>
      </c>
      <c r="C219" s="30" t="s">
        <v>27</v>
      </c>
      <c r="D219" s="31">
        <v>2.9</v>
      </c>
    </row>
    <row r="220" spans="1:4">
      <c r="B220" s="32" t="s">
        <v>145</v>
      </c>
      <c r="C220" s="30" t="s">
        <v>27</v>
      </c>
      <c r="D220" s="31">
        <v>3.2</v>
      </c>
    </row>
    <row r="221" spans="1:4">
      <c r="B221" s="32" t="s">
        <v>146</v>
      </c>
      <c r="C221" s="30" t="s">
        <v>27</v>
      </c>
      <c r="D221" s="31">
        <v>6.3</v>
      </c>
    </row>
    <row r="222" spans="1:4">
      <c r="B222" s="32" t="s">
        <v>147</v>
      </c>
      <c r="C222" s="30" t="s">
        <v>27</v>
      </c>
      <c r="D222" s="31">
        <v>0.68</v>
      </c>
    </row>
    <row r="223" spans="1:4">
      <c r="B223" s="32" t="s">
        <v>148</v>
      </c>
      <c r="C223" s="30" t="s">
        <v>27</v>
      </c>
      <c r="D223" s="31">
        <v>0.61299999999999999</v>
      </c>
    </row>
    <row r="224" spans="1:4">
      <c r="B224" s="32"/>
      <c r="C224" s="30"/>
      <c r="D224" s="31"/>
    </row>
    <row r="225" spans="1:4">
      <c r="B225" s="32"/>
      <c r="C225" s="30"/>
      <c r="D225" s="31"/>
    </row>
    <row r="226" spans="1:4">
      <c r="A226" s="27" t="s">
        <v>149</v>
      </c>
      <c r="B226" s="29"/>
      <c r="C226" s="28"/>
      <c r="D226" s="37"/>
    </row>
    <row r="227" spans="1:4">
      <c r="B227" s="32" t="s">
        <v>150</v>
      </c>
      <c r="C227" s="30" t="s">
        <v>151</v>
      </c>
      <c r="D227" s="31">
        <v>0.41099999999999998</v>
      </c>
    </row>
    <row r="228" spans="1:4">
      <c r="B228" s="32" t="s">
        <v>152</v>
      </c>
      <c r="C228" s="30" t="s">
        <v>151</v>
      </c>
      <c r="D228" s="31">
        <v>0.432</v>
      </c>
    </row>
    <row r="229" spans="1:4">
      <c r="B229" s="32" t="s">
        <v>153</v>
      </c>
      <c r="C229" s="30" t="s">
        <v>27</v>
      </c>
      <c r="D229" s="31">
        <v>0.34399999999999997</v>
      </c>
    </row>
    <row r="230" spans="1:4">
      <c r="B230" s="32" t="s">
        <v>154</v>
      </c>
      <c r="C230" s="30" t="s">
        <v>27</v>
      </c>
      <c r="D230" s="31">
        <v>0.17799999999999999</v>
      </c>
    </row>
    <row r="231" spans="1:4">
      <c r="B231" s="32"/>
      <c r="C231" s="30"/>
      <c r="D231" s="31"/>
    </row>
    <row r="232" spans="1:4">
      <c r="B232" s="29"/>
      <c r="C232" s="28"/>
      <c r="D232" s="37"/>
    </row>
    <row r="233" spans="1:4">
      <c r="B233" s="32" t="s">
        <v>155</v>
      </c>
      <c r="C233" s="30" t="s">
        <v>27</v>
      </c>
      <c r="D233" s="31">
        <v>0.13</v>
      </c>
    </row>
    <row r="234" spans="1:4">
      <c r="B234" s="32" t="s">
        <v>156</v>
      </c>
      <c r="C234" s="30" t="s">
        <v>27</v>
      </c>
      <c r="D234" s="31">
        <v>0.16900000000000001</v>
      </c>
    </row>
    <row r="235" spans="1:4">
      <c r="B235" s="32" t="s">
        <v>157</v>
      </c>
      <c r="C235" s="30" t="s">
        <v>27</v>
      </c>
      <c r="D235" s="31">
        <v>0.23</v>
      </c>
    </row>
    <row r="236" spans="1:4">
      <c r="B236" s="32"/>
      <c r="C236" s="30"/>
      <c r="D236" s="31"/>
    </row>
    <row r="237" spans="1:4">
      <c r="B237" s="29"/>
      <c r="C237" s="28"/>
      <c r="D237" s="37"/>
    </row>
    <row r="238" spans="1:4">
      <c r="B238" s="32" t="s">
        <v>158</v>
      </c>
      <c r="C238" s="30" t="s">
        <v>27</v>
      </c>
      <c r="D238" s="31">
        <v>0.16900000000000001</v>
      </c>
    </row>
    <row r="239" spans="1:4">
      <c r="B239" s="32" t="s">
        <v>159</v>
      </c>
      <c r="C239" s="30" t="s">
        <v>27</v>
      </c>
      <c r="D239" s="31">
        <v>0.16900000000000001</v>
      </c>
    </row>
    <row r="240" spans="1:4">
      <c r="B240" s="32" t="s">
        <v>160</v>
      </c>
      <c r="C240" s="30" t="s">
        <v>27</v>
      </c>
      <c r="D240" s="31">
        <v>0.16900000000000001</v>
      </c>
    </row>
    <row r="241" spans="2:4">
      <c r="B241" s="32" t="s">
        <v>161</v>
      </c>
      <c r="C241" s="30" t="s">
        <v>27</v>
      </c>
      <c r="D241" s="31">
        <v>0.12</v>
      </c>
    </row>
    <row r="242" spans="2:4">
      <c r="B242" s="32" t="s">
        <v>162</v>
      </c>
      <c r="C242" s="30" t="s">
        <v>27</v>
      </c>
      <c r="D242" s="31">
        <v>3.5000000000000001E-3</v>
      </c>
    </row>
    <row r="243" spans="2:4">
      <c r="B243" s="32" t="s">
        <v>163</v>
      </c>
      <c r="C243" s="30" t="s">
        <v>27</v>
      </c>
      <c r="D243" s="31">
        <v>2.7</v>
      </c>
    </row>
    <row r="244" spans="2:4">
      <c r="B244" s="32" t="s">
        <v>164</v>
      </c>
      <c r="C244" s="30" t="s">
        <v>27</v>
      </c>
      <c r="D244" s="31">
        <v>1.51</v>
      </c>
    </row>
    <row r="245" spans="2:4">
      <c r="B245" s="32" t="s">
        <v>165</v>
      </c>
      <c r="C245" s="30" t="s">
        <v>27</v>
      </c>
      <c r="D245" s="31">
        <v>2.7</v>
      </c>
    </row>
  </sheetData>
  <autoFilter ref="A1:D194" xr:uid="{00000000-0009-0000-0000-000001000000}"/>
  <phoneticPr fontId="61" type="noConversion"/>
  <pageMargins left="0.7" right="0.7" top="0.75" bottom="0.75" header="0.3" footer="0.3"/>
  <pageSetup orientation="portrait" horizontalDpi="4294967295" verticalDpi="4294967295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C8C2B4-441B-4392-B13E-14BC4E0C6AF4}">
  <sheetPr>
    <tabColor rgb="FFFF0000"/>
  </sheetPr>
  <dimension ref="A1:W171"/>
  <sheetViews>
    <sheetView topLeftCell="A95" zoomScale="85" zoomScaleNormal="85" workbookViewId="0">
      <selection activeCell="D102" sqref="D102"/>
    </sheetView>
  </sheetViews>
  <sheetFormatPr defaultColWidth="8.6640625" defaultRowHeight="15"/>
  <cols>
    <col min="1" max="1" width="23.33203125" style="42" bestFit="1" customWidth="1"/>
    <col min="2" max="2" width="27.6640625" style="41" customWidth="1"/>
    <col min="3" max="3" width="10.21875" style="42" bestFit="1" customWidth="1"/>
    <col min="4" max="4" width="9.6640625" style="43" bestFit="1" customWidth="1"/>
    <col min="5" max="5" width="12.21875" style="43" bestFit="1" customWidth="1"/>
    <col min="6" max="6" width="11.5546875" style="43" bestFit="1" customWidth="1"/>
    <col min="7" max="7" width="9.109375" style="4" bestFit="1" customWidth="1"/>
    <col min="8" max="8" width="18.77734375" style="4" bestFit="1" customWidth="1"/>
    <col min="9" max="9" width="11.21875" style="4" bestFit="1" customWidth="1"/>
    <col min="10" max="10" width="11.21875" style="332" bestFit="1" customWidth="1"/>
    <col min="11" max="11" width="9.88671875" style="3" bestFit="1" customWidth="1"/>
    <col min="12" max="12" width="18.21875" style="61" bestFit="1" customWidth="1"/>
    <col min="13" max="13" width="16" style="61" bestFit="1" customWidth="1"/>
    <col min="14" max="14" width="20.109375" style="61" bestFit="1" customWidth="1"/>
    <col min="15" max="15" width="21.33203125" style="4" bestFit="1" customWidth="1"/>
    <col min="16" max="16" width="15.44140625" style="61" bestFit="1" customWidth="1"/>
    <col min="17" max="17" width="9.5546875" style="61" bestFit="1" customWidth="1"/>
    <col min="18" max="18" width="8.88671875" style="61" bestFit="1" customWidth="1"/>
    <col min="19" max="19" width="6.6640625" style="61" customWidth="1"/>
    <col min="20" max="20" width="8.6640625" style="61"/>
    <col min="21" max="21" width="11.33203125" style="61" bestFit="1" customWidth="1"/>
    <col min="22" max="22" width="20.33203125" style="61" bestFit="1" customWidth="1"/>
    <col min="23" max="27" width="8.6640625" style="61"/>
    <col min="28" max="28" width="8.6640625" style="61" customWidth="1"/>
    <col min="29" max="16384" width="8.6640625" style="61"/>
  </cols>
  <sheetData>
    <row r="1" spans="1:17" s="4" customFormat="1" ht="15.6" thickBot="1">
      <c r="A1" s="40"/>
      <c r="B1" s="41"/>
      <c r="C1" s="42"/>
      <c r="D1" s="43"/>
      <c r="E1" s="43"/>
      <c r="F1" s="43"/>
      <c r="J1" s="332"/>
      <c r="M1" s="44" t="s">
        <v>166</v>
      </c>
      <c r="N1" s="45">
        <v>3.1455790531179968</v>
      </c>
      <c r="O1" s="46">
        <v>0.9</v>
      </c>
      <c r="P1" s="3"/>
    </row>
    <row r="2" spans="1:17" s="4" customFormat="1" ht="15.6" thickBot="1">
      <c r="A2" s="47" t="s">
        <v>167</v>
      </c>
      <c r="B2" s="48" t="s">
        <v>168</v>
      </c>
      <c r="C2" s="48" t="s">
        <v>169</v>
      </c>
      <c r="D2" s="48" t="s">
        <v>14</v>
      </c>
      <c r="E2" s="48" t="s">
        <v>170</v>
      </c>
      <c r="F2" s="48" t="s">
        <v>13</v>
      </c>
      <c r="G2" s="49" t="s">
        <v>15</v>
      </c>
      <c r="H2" s="50" t="s">
        <v>171</v>
      </c>
      <c r="I2" s="50" t="s">
        <v>172</v>
      </c>
      <c r="J2" s="333" t="s">
        <v>6</v>
      </c>
      <c r="M2" s="51" t="s">
        <v>173</v>
      </c>
      <c r="N2" s="52">
        <v>3.0445099999999998</v>
      </c>
      <c r="O2" s="53"/>
      <c r="P2" s="3"/>
    </row>
    <row r="3" spans="1:17" ht="16.2" thickBot="1">
      <c r="A3" s="54" t="s">
        <v>1</v>
      </c>
      <c r="B3" s="55"/>
      <c r="C3" s="56"/>
      <c r="D3" s="57"/>
      <c r="E3" s="58"/>
      <c r="F3" s="59"/>
      <c r="G3" s="60"/>
      <c r="H3" s="60"/>
      <c r="I3" s="60"/>
      <c r="J3" s="334"/>
      <c r="M3" s="62" t="s">
        <v>174</v>
      </c>
      <c r="N3" s="63">
        <v>2.6239092461771314</v>
      </c>
      <c r="O3" s="64">
        <v>0.83499999999999996</v>
      </c>
      <c r="P3" s="3"/>
    </row>
    <row r="4" spans="1:17">
      <c r="A4" s="315" t="s">
        <v>175</v>
      </c>
      <c r="B4" s="65">
        <v>302</v>
      </c>
      <c r="C4" s="66">
        <v>2</v>
      </c>
      <c r="D4" s="67">
        <v>15</v>
      </c>
      <c r="E4" s="68">
        <f t="shared" ref="E4:E31" si="0">F4*D4*0.53</f>
        <v>0.79500000000000004</v>
      </c>
      <c r="F4" s="69">
        <v>0.1</v>
      </c>
      <c r="G4" s="70">
        <v>5</v>
      </c>
      <c r="H4" s="71">
        <f t="shared" ref="H4:H54" si="1">D4*I4*(0.6957*G4^-0.095)</f>
        <v>4.746647507339457</v>
      </c>
      <c r="I4" s="72">
        <v>0.53</v>
      </c>
      <c r="J4" s="331">
        <v>15</v>
      </c>
      <c r="L4" s="3"/>
      <c r="M4" s="73" t="s">
        <v>176</v>
      </c>
      <c r="N4" s="74">
        <v>2.31</v>
      </c>
      <c r="O4" s="53"/>
      <c r="P4" s="75"/>
    </row>
    <row r="5" spans="1:17">
      <c r="A5" s="316" t="s">
        <v>175</v>
      </c>
      <c r="B5" s="76">
        <v>305</v>
      </c>
      <c r="C5" s="77">
        <v>5</v>
      </c>
      <c r="D5" s="78">
        <v>40</v>
      </c>
      <c r="E5" s="79">
        <f t="shared" si="0"/>
        <v>6.36</v>
      </c>
      <c r="F5" s="80">
        <v>0.3</v>
      </c>
      <c r="G5" s="81">
        <v>5</v>
      </c>
      <c r="H5" s="82">
        <f t="shared" si="1"/>
        <v>12.657726686238554</v>
      </c>
      <c r="I5" s="83">
        <v>0.53</v>
      </c>
      <c r="J5" s="335">
        <v>22</v>
      </c>
      <c r="L5" s="3"/>
      <c r="M5" s="84" t="s">
        <v>177</v>
      </c>
      <c r="N5" s="85">
        <v>1.881</v>
      </c>
      <c r="O5" s="53"/>
      <c r="P5" s="75"/>
    </row>
    <row r="6" spans="1:17">
      <c r="A6" s="316" t="s">
        <v>175</v>
      </c>
      <c r="B6" s="76">
        <v>308</v>
      </c>
      <c r="C6" s="77">
        <v>8</v>
      </c>
      <c r="D6" s="78">
        <v>50</v>
      </c>
      <c r="E6" s="79">
        <f t="shared" si="0"/>
        <v>10.600000000000001</v>
      </c>
      <c r="F6" s="80">
        <v>0.4</v>
      </c>
      <c r="G6" s="81">
        <v>5</v>
      </c>
      <c r="H6" s="82">
        <f t="shared" si="1"/>
        <v>15.822158357798189</v>
      </c>
      <c r="I6" s="83">
        <v>0.53</v>
      </c>
      <c r="J6" s="335">
        <v>27</v>
      </c>
      <c r="L6" s="3"/>
      <c r="M6" s="86" t="s">
        <v>178</v>
      </c>
      <c r="N6" s="87">
        <v>0.22867000000000001</v>
      </c>
      <c r="O6" s="88">
        <v>2.9144806484743908</v>
      </c>
      <c r="P6" s="3"/>
    </row>
    <row r="7" spans="1:17">
      <c r="A7" s="316" t="s">
        <v>175</v>
      </c>
      <c r="B7" s="76">
        <v>313</v>
      </c>
      <c r="C7" s="77">
        <v>12</v>
      </c>
      <c r="D7" s="78">
        <v>60</v>
      </c>
      <c r="E7" s="79">
        <f t="shared" si="0"/>
        <v>19.080000000000002</v>
      </c>
      <c r="F7" s="80">
        <v>0.6</v>
      </c>
      <c r="G7" s="81">
        <v>5</v>
      </c>
      <c r="H7" s="82">
        <f t="shared" si="1"/>
        <v>18.986590029357828</v>
      </c>
      <c r="I7" s="83">
        <v>0.53</v>
      </c>
      <c r="J7" s="335">
        <v>32</v>
      </c>
      <c r="L7" s="3"/>
      <c r="M7" s="51" t="s">
        <v>179</v>
      </c>
      <c r="N7" s="89">
        <v>2.5050145501265423E-3</v>
      </c>
      <c r="O7" s="90">
        <v>2.5050145501265423E-3</v>
      </c>
      <c r="P7" s="91"/>
    </row>
    <row r="8" spans="1:17">
      <c r="A8" s="316" t="s">
        <v>175</v>
      </c>
      <c r="B8" s="76">
        <v>316</v>
      </c>
      <c r="C8" s="77">
        <v>14</v>
      </c>
      <c r="D8" s="78">
        <v>70</v>
      </c>
      <c r="E8" s="79">
        <f t="shared" si="0"/>
        <v>24.115000000000002</v>
      </c>
      <c r="F8" s="80">
        <v>0.65</v>
      </c>
      <c r="G8" s="81">
        <v>5</v>
      </c>
      <c r="H8" s="82">
        <f t="shared" si="1"/>
        <v>22.151021700917468</v>
      </c>
      <c r="I8" s="83">
        <v>0.53</v>
      </c>
      <c r="J8" s="335">
        <v>37</v>
      </c>
      <c r="L8" s="3"/>
      <c r="M8" s="86" t="s">
        <v>104</v>
      </c>
      <c r="N8" s="87">
        <v>0.71518000000000004</v>
      </c>
      <c r="O8" s="53"/>
      <c r="P8" s="91"/>
    </row>
    <row r="9" spans="1:17">
      <c r="A9" s="316" t="s">
        <v>175</v>
      </c>
      <c r="B9" s="76">
        <v>318</v>
      </c>
      <c r="C9" s="77">
        <v>17</v>
      </c>
      <c r="D9" s="78">
        <v>80</v>
      </c>
      <c r="E9" s="79">
        <f t="shared" si="0"/>
        <v>31.8</v>
      </c>
      <c r="F9" s="80">
        <v>0.75</v>
      </c>
      <c r="G9" s="81">
        <v>5</v>
      </c>
      <c r="H9" s="82">
        <f t="shared" si="1"/>
        <v>25.315453372477108</v>
      </c>
      <c r="I9" s="83">
        <v>0.53</v>
      </c>
      <c r="J9" s="335">
        <v>42</v>
      </c>
      <c r="L9" s="3"/>
      <c r="M9" s="73" t="s">
        <v>180</v>
      </c>
      <c r="N9" s="92">
        <v>0.4</v>
      </c>
      <c r="O9" s="53"/>
      <c r="P9" s="91"/>
    </row>
    <row r="10" spans="1:17">
      <c r="A10" s="316" t="s">
        <v>175</v>
      </c>
      <c r="B10" s="93">
        <v>320</v>
      </c>
      <c r="C10" s="94">
        <v>21</v>
      </c>
      <c r="D10" s="95">
        <v>100</v>
      </c>
      <c r="E10" s="96">
        <f t="shared" si="0"/>
        <v>48.230000000000004</v>
      </c>
      <c r="F10" s="97">
        <v>0.91</v>
      </c>
      <c r="G10" s="98">
        <v>5</v>
      </c>
      <c r="H10" s="99">
        <f>D10*I10*(0.6957*G10^-0.095)</f>
        <v>31.644316715596378</v>
      </c>
      <c r="I10" s="100">
        <v>0.53</v>
      </c>
      <c r="J10" s="335">
        <v>47</v>
      </c>
      <c r="L10" s="3"/>
      <c r="M10" s="62" t="s">
        <v>181</v>
      </c>
      <c r="N10" s="101">
        <v>2.3133999999999999E-4</v>
      </c>
      <c r="O10" s="53"/>
      <c r="P10" s="91"/>
    </row>
    <row r="11" spans="1:17">
      <c r="A11" s="316" t="s">
        <v>175</v>
      </c>
      <c r="B11" s="76">
        <v>326</v>
      </c>
      <c r="C11" s="77">
        <v>25</v>
      </c>
      <c r="D11" s="78">
        <v>158</v>
      </c>
      <c r="E11" s="79">
        <f t="shared" si="0"/>
        <v>102.1628</v>
      </c>
      <c r="F11" s="80">
        <v>1.22</v>
      </c>
      <c r="G11" s="81">
        <v>5</v>
      </c>
      <c r="H11" s="82">
        <f t="shared" si="1"/>
        <v>49.998020410642283</v>
      </c>
      <c r="I11" s="83">
        <v>0.53</v>
      </c>
      <c r="J11" s="335">
        <v>52</v>
      </c>
      <c r="L11" s="3"/>
      <c r="M11" s="102" t="s">
        <v>15</v>
      </c>
      <c r="N11" s="102" t="s">
        <v>21</v>
      </c>
      <c r="O11" s="103">
        <v>28</v>
      </c>
      <c r="P11" s="103">
        <v>13</v>
      </c>
    </row>
    <row r="12" spans="1:17">
      <c r="A12" s="316" t="s">
        <v>175</v>
      </c>
      <c r="B12" s="76">
        <v>330</v>
      </c>
      <c r="C12" s="77">
        <v>30</v>
      </c>
      <c r="D12" s="78">
        <v>194</v>
      </c>
      <c r="E12" s="79">
        <f t="shared" si="0"/>
        <v>165.54020000000003</v>
      </c>
      <c r="F12" s="80">
        <v>1.61</v>
      </c>
      <c r="G12" s="81">
        <v>5</v>
      </c>
      <c r="H12" s="82">
        <f t="shared" si="1"/>
        <v>61.389974428256977</v>
      </c>
      <c r="I12" s="83">
        <v>0.53</v>
      </c>
      <c r="J12" s="335">
        <v>57</v>
      </c>
      <c r="L12" s="3"/>
      <c r="M12" s="104">
        <v>5</v>
      </c>
      <c r="N12" s="105">
        <v>6</v>
      </c>
      <c r="O12" s="106">
        <v>330</v>
      </c>
      <c r="P12" s="106">
        <v>200</v>
      </c>
    </row>
    <row r="13" spans="1:17">
      <c r="A13" s="316" t="s">
        <v>175</v>
      </c>
      <c r="B13" s="107">
        <v>336</v>
      </c>
      <c r="C13" s="108">
        <v>37</v>
      </c>
      <c r="D13" s="109">
        <v>224</v>
      </c>
      <c r="E13" s="110">
        <f t="shared" si="0"/>
        <v>241.0016</v>
      </c>
      <c r="F13" s="111">
        <v>2.0299999999999998</v>
      </c>
      <c r="G13" s="112">
        <v>5</v>
      </c>
      <c r="H13" s="113">
        <f t="shared" si="1"/>
        <v>70.883269442935884</v>
      </c>
      <c r="I13" s="114">
        <v>0.53</v>
      </c>
      <c r="J13" s="335">
        <v>62</v>
      </c>
      <c r="L13" s="3"/>
      <c r="M13" s="115"/>
      <c r="N13" s="116"/>
    </row>
    <row r="14" spans="1:17">
      <c r="A14" s="316" t="s">
        <v>175</v>
      </c>
      <c r="B14" s="76">
        <v>345</v>
      </c>
      <c r="C14" s="77">
        <v>45</v>
      </c>
      <c r="D14" s="78">
        <v>258</v>
      </c>
      <c r="E14" s="79">
        <f t="shared" si="0"/>
        <v>318.60419999999999</v>
      </c>
      <c r="F14" s="80">
        <v>2.33</v>
      </c>
      <c r="G14" s="81">
        <v>5</v>
      </c>
      <c r="H14" s="82">
        <f t="shared" si="1"/>
        <v>81.642337126238658</v>
      </c>
      <c r="I14" s="83">
        <v>0.53</v>
      </c>
      <c r="J14" s="335">
        <v>67</v>
      </c>
      <c r="L14" s="3"/>
      <c r="M14" s="115"/>
      <c r="Q14" s="117"/>
    </row>
    <row r="15" spans="1:17" ht="15.6" thickBot="1">
      <c r="A15" s="317" t="s">
        <v>175</v>
      </c>
      <c r="B15" s="118">
        <v>352</v>
      </c>
      <c r="C15" s="119">
        <v>52</v>
      </c>
      <c r="D15" s="120">
        <v>302</v>
      </c>
      <c r="E15" s="121">
        <f t="shared" si="0"/>
        <v>528.19799999999998</v>
      </c>
      <c r="F15" s="122">
        <v>3.3</v>
      </c>
      <c r="G15" s="123">
        <v>5</v>
      </c>
      <c r="H15" s="124">
        <f t="shared" si="1"/>
        <v>95.565836481101073</v>
      </c>
      <c r="I15" s="125">
        <v>0.53</v>
      </c>
      <c r="J15" s="336">
        <v>72</v>
      </c>
      <c r="L15" s="3"/>
      <c r="M15" s="115"/>
    </row>
    <row r="16" spans="1:17">
      <c r="A16" s="315" t="s">
        <v>182</v>
      </c>
      <c r="B16" s="126" t="s">
        <v>183</v>
      </c>
      <c r="C16" s="66">
        <v>15</v>
      </c>
      <c r="D16" s="67">
        <v>93</v>
      </c>
      <c r="E16" s="68">
        <f t="shared" si="0"/>
        <v>4.9290000000000003</v>
      </c>
      <c r="F16" s="127">
        <v>0.1</v>
      </c>
      <c r="G16" s="70">
        <v>5</v>
      </c>
      <c r="H16" s="71">
        <f t="shared" si="1"/>
        <v>29.429214545504632</v>
      </c>
      <c r="I16" s="72">
        <v>0.53</v>
      </c>
      <c r="J16" s="331">
        <v>40</v>
      </c>
      <c r="L16" s="3"/>
      <c r="M16" s="128"/>
      <c r="N16" s="129"/>
      <c r="O16" s="130"/>
    </row>
    <row r="17" spans="1:17">
      <c r="A17" s="316" t="s">
        <v>182</v>
      </c>
      <c r="B17" s="131" t="s">
        <v>184</v>
      </c>
      <c r="C17" s="77">
        <v>17</v>
      </c>
      <c r="D17" s="78">
        <v>108</v>
      </c>
      <c r="E17" s="79">
        <f t="shared" si="0"/>
        <v>17.172000000000001</v>
      </c>
      <c r="F17" s="132">
        <v>0.3</v>
      </c>
      <c r="G17" s="81">
        <v>5</v>
      </c>
      <c r="H17" s="82">
        <f t="shared" si="1"/>
        <v>34.175862052844089</v>
      </c>
      <c r="I17" s="83">
        <v>0.53</v>
      </c>
      <c r="J17" s="335">
        <v>50</v>
      </c>
      <c r="L17" s="3"/>
      <c r="M17" s="128"/>
      <c r="N17" s="129"/>
      <c r="O17" s="130"/>
    </row>
    <row r="18" spans="1:17" ht="15.6" thickBot="1">
      <c r="A18" s="318" t="s">
        <v>182</v>
      </c>
      <c r="B18" s="133" t="s">
        <v>185</v>
      </c>
      <c r="C18" s="134">
        <v>19.5</v>
      </c>
      <c r="D18" s="135">
        <v>129</v>
      </c>
      <c r="E18" s="136">
        <f t="shared" si="0"/>
        <v>27.348000000000003</v>
      </c>
      <c r="F18" s="137">
        <v>0.4</v>
      </c>
      <c r="G18" s="138">
        <v>5</v>
      </c>
      <c r="H18" s="139">
        <f t="shared" si="1"/>
        <v>40.821168563119329</v>
      </c>
      <c r="I18" s="140">
        <v>0.53</v>
      </c>
      <c r="J18" s="337">
        <v>60</v>
      </c>
      <c r="L18" s="3"/>
      <c r="M18" s="128"/>
      <c r="N18" s="141"/>
      <c r="O18" s="117"/>
      <c r="P18" s="142"/>
      <c r="Q18" s="143"/>
    </row>
    <row r="19" spans="1:17">
      <c r="A19" s="315" t="s">
        <v>186</v>
      </c>
      <c r="B19" s="65">
        <v>428</v>
      </c>
      <c r="C19" s="66">
        <v>8.1999999999999993</v>
      </c>
      <c r="D19" s="67">
        <v>52</v>
      </c>
      <c r="E19" s="68">
        <f t="shared" si="0"/>
        <v>27.560000000000002</v>
      </c>
      <c r="F19" s="69">
        <v>1</v>
      </c>
      <c r="G19" s="70">
        <v>5</v>
      </c>
      <c r="H19" s="71">
        <f t="shared" si="1"/>
        <v>16.455044692110118</v>
      </c>
      <c r="I19" s="72">
        <v>0.53</v>
      </c>
      <c r="J19" s="331">
        <v>35</v>
      </c>
      <c r="L19" s="3"/>
      <c r="M19" s="128"/>
      <c r="N19" s="144"/>
      <c r="O19" s="117"/>
      <c r="P19" s="142"/>
      <c r="Q19" s="143"/>
    </row>
    <row r="20" spans="1:17" ht="15.6">
      <c r="A20" s="316" t="s">
        <v>186</v>
      </c>
      <c r="B20" s="76">
        <v>432</v>
      </c>
      <c r="C20" s="77">
        <v>9.8000000000000007</v>
      </c>
      <c r="D20" s="78">
        <v>75</v>
      </c>
      <c r="E20" s="79">
        <f t="shared" si="0"/>
        <v>40.942500000000003</v>
      </c>
      <c r="F20" s="80">
        <v>1.03</v>
      </c>
      <c r="G20" s="81">
        <v>5</v>
      </c>
      <c r="H20" s="82">
        <f t="shared" si="1"/>
        <v>23.733237536697285</v>
      </c>
      <c r="I20" s="83">
        <v>0.53</v>
      </c>
      <c r="J20" s="335">
        <v>40</v>
      </c>
      <c r="L20" s="3"/>
      <c r="M20" s="128"/>
      <c r="N20" s="145"/>
      <c r="O20" s="146"/>
    </row>
    <row r="21" spans="1:17" ht="15.6" thickBot="1">
      <c r="A21" s="318" t="s">
        <v>186</v>
      </c>
      <c r="B21" s="147">
        <v>444</v>
      </c>
      <c r="C21" s="134">
        <v>10.8</v>
      </c>
      <c r="D21" s="135">
        <v>82</v>
      </c>
      <c r="E21" s="136">
        <f t="shared" si="0"/>
        <v>56.498000000000005</v>
      </c>
      <c r="F21" s="148">
        <v>1.3</v>
      </c>
      <c r="G21" s="138">
        <v>5</v>
      </c>
      <c r="H21" s="139">
        <f t="shared" si="1"/>
        <v>25.948339706789032</v>
      </c>
      <c r="I21" s="140">
        <v>0.53</v>
      </c>
      <c r="J21" s="337">
        <v>45</v>
      </c>
      <c r="L21" s="3"/>
      <c r="M21" s="128"/>
      <c r="N21" s="141"/>
      <c r="O21" s="149"/>
    </row>
    <row r="22" spans="1:17">
      <c r="A22" s="319" t="s">
        <v>187</v>
      </c>
      <c r="B22" s="150">
        <v>906</v>
      </c>
      <c r="C22" s="151">
        <v>5.7</v>
      </c>
      <c r="D22" s="152">
        <v>55</v>
      </c>
      <c r="E22" s="79">
        <f t="shared" si="0"/>
        <v>20.405000000000001</v>
      </c>
      <c r="F22" s="153">
        <v>0.7</v>
      </c>
      <c r="G22" s="154">
        <v>5</v>
      </c>
      <c r="H22" s="155">
        <f t="shared" si="1"/>
        <v>17.404374193578011</v>
      </c>
      <c r="I22" s="156">
        <v>0.53</v>
      </c>
      <c r="J22" s="338">
        <v>25</v>
      </c>
      <c r="L22" s="3"/>
      <c r="M22" s="115"/>
      <c r="N22" s="157"/>
      <c r="O22" s="158"/>
    </row>
    <row r="23" spans="1:17">
      <c r="A23" s="316" t="s">
        <v>187</v>
      </c>
      <c r="B23" s="131">
        <v>910</v>
      </c>
      <c r="C23" s="159">
        <v>8.1</v>
      </c>
      <c r="D23" s="78">
        <v>73</v>
      </c>
      <c r="E23" s="79">
        <f t="shared" si="0"/>
        <v>46.427999999999997</v>
      </c>
      <c r="F23" s="80">
        <v>1.2</v>
      </c>
      <c r="G23" s="81">
        <v>5</v>
      </c>
      <c r="H23" s="82">
        <f t="shared" si="1"/>
        <v>23.100351202385358</v>
      </c>
      <c r="I23" s="83">
        <v>0.53</v>
      </c>
      <c r="J23" s="335">
        <v>30</v>
      </c>
      <c r="L23" s="3"/>
      <c r="M23" s="115"/>
      <c r="N23" s="141"/>
      <c r="O23" s="160"/>
    </row>
    <row r="24" spans="1:17">
      <c r="A24" s="316" t="s">
        <v>187</v>
      </c>
      <c r="B24" s="131">
        <v>926</v>
      </c>
      <c r="C24" s="159">
        <v>12.7</v>
      </c>
      <c r="D24" s="78">
        <v>127</v>
      </c>
      <c r="E24" s="79">
        <f t="shared" si="0"/>
        <v>141.351</v>
      </c>
      <c r="F24" s="80">
        <v>2.1</v>
      </c>
      <c r="G24" s="81">
        <v>5</v>
      </c>
      <c r="H24" s="82">
        <f t="shared" si="1"/>
        <v>40.188282228807402</v>
      </c>
      <c r="I24" s="83">
        <v>0.53</v>
      </c>
      <c r="J24" s="335">
        <v>35</v>
      </c>
      <c r="L24" s="3"/>
      <c r="M24" s="115"/>
      <c r="N24" s="141"/>
      <c r="O24" s="161"/>
    </row>
    <row r="25" spans="1:17">
      <c r="A25" s="316" t="s">
        <v>187</v>
      </c>
      <c r="B25" s="162">
        <v>938</v>
      </c>
      <c r="C25" s="163">
        <v>16.100000000000001</v>
      </c>
      <c r="D25" s="95">
        <v>143</v>
      </c>
      <c r="E25" s="96">
        <f t="shared" si="0"/>
        <v>159.15900000000002</v>
      </c>
      <c r="F25" s="97">
        <v>2.1</v>
      </c>
      <c r="G25" s="98">
        <v>5</v>
      </c>
      <c r="H25" s="99">
        <f t="shared" si="1"/>
        <v>45.251372903302823</v>
      </c>
      <c r="I25" s="100">
        <v>0.53</v>
      </c>
      <c r="J25" s="335">
        <v>40</v>
      </c>
      <c r="L25" s="3"/>
      <c r="M25" s="115"/>
      <c r="N25" s="141"/>
      <c r="O25" s="164"/>
    </row>
    <row r="26" spans="1:17">
      <c r="A26" s="316" t="s">
        <v>187</v>
      </c>
      <c r="B26" s="131">
        <v>950</v>
      </c>
      <c r="C26" s="159">
        <v>19.600000000000001</v>
      </c>
      <c r="D26" s="78">
        <v>186</v>
      </c>
      <c r="E26" s="79">
        <f t="shared" si="0"/>
        <v>325.31399999999996</v>
      </c>
      <c r="F26" s="80">
        <v>3.3</v>
      </c>
      <c r="G26" s="81">
        <v>5</v>
      </c>
      <c r="H26" s="82">
        <f t="shared" si="1"/>
        <v>58.858429091009263</v>
      </c>
      <c r="I26" s="83">
        <v>0.53</v>
      </c>
      <c r="J26" s="335">
        <v>45</v>
      </c>
      <c r="L26" s="3"/>
      <c r="M26" s="115"/>
      <c r="N26" s="157"/>
      <c r="O26" s="165"/>
    </row>
    <row r="27" spans="1:17">
      <c r="A27" s="316" t="s">
        <v>187</v>
      </c>
      <c r="B27" s="131">
        <v>962</v>
      </c>
      <c r="C27" s="159">
        <v>20.5</v>
      </c>
      <c r="D27" s="78">
        <v>202</v>
      </c>
      <c r="E27" s="79">
        <f t="shared" si="0"/>
        <v>385.41600000000005</v>
      </c>
      <c r="F27" s="80">
        <v>3.6</v>
      </c>
      <c r="G27" s="81">
        <v>5</v>
      </c>
      <c r="H27" s="82">
        <f t="shared" si="1"/>
        <v>63.921519765504691</v>
      </c>
      <c r="I27" s="83">
        <v>0.53</v>
      </c>
      <c r="J27" s="335">
        <v>50</v>
      </c>
      <c r="L27" s="3"/>
      <c r="M27" s="115"/>
      <c r="N27" s="157"/>
      <c r="O27" s="166"/>
    </row>
    <row r="28" spans="1:17">
      <c r="A28" s="316" t="s">
        <v>187</v>
      </c>
      <c r="B28" s="167">
        <v>966</v>
      </c>
      <c r="C28" s="168">
        <v>24</v>
      </c>
      <c r="D28" s="109">
        <v>222</v>
      </c>
      <c r="E28" s="110">
        <f>F28*D28*0.53</f>
        <v>470.64000000000004</v>
      </c>
      <c r="F28" s="111">
        <v>4</v>
      </c>
      <c r="G28" s="112">
        <v>5</v>
      </c>
      <c r="H28" s="113">
        <f t="shared" si="1"/>
        <v>70.250383108623964</v>
      </c>
      <c r="I28" s="114">
        <v>0.53</v>
      </c>
      <c r="J28" s="335">
        <v>55</v>
      </c>
      <c r="L28" s="3"/>
      <c r="M28" s="115"/>
      <c r="N28" s="116"/>
      <c r="O28" s="141"/>
    </row>
    <row r="29" spans="1:17">
      <c r="A29" s="316" t="s">
        <v>187</v>
      </c>
      <c r="B29" s="131">
        <v>980</v>
      </c>
      <c r="C29" s="159">
        <v>31.3</v>
      </c>
      <c r="D29" s="78">
        <v>293</v>
      </c>
      <c r="E29" s="79">
        <f t="shared" si="0"/>
        <v>885.15300000000013</v>
      </c>
      <c r="F29" s="80">
        <v>5.7</v>
      </c>
      <c r="G29" s="81">
        <v>5</v>
      </c>
      <c r="H29" s="82">
        <f t="shared" si="1"/>
        <v>92.717847976697399</v>
      </c>
      <c r="I29" s="83">
        <v>0.53</v>
      </c>
      <c r="J29" s="335">
        <v>60</v>
      </c>
      <c r="L29" s="3"/>
      <c r="M29" s="115"/>
      <c r="O29" s="169"/>
    </row>
    <row r="30" spans="1:17">
      <c r="A30" s="316" t="s">
        <v>187</v>
      </c>
      <c r="B30" s="131">
        <v>988</v>
      </c>
      <c r="C30" s="159">
        <v>51</v>
      </c>
      <c r="D30" s="78">
        <v>432</v>
      </c>
      <c r="E30" s="79">
        <f t="shared" si="0"/>
        <v>1465.3440000000003</v>
      </c>
      <c r="F30" s="80">
        <v>6.4</v>
      </c>
      <c r="G30" s="81">
        <v>5</v>
      </c>
      <c r="H30" s="82">
        <f t="shared" si="1"/>
        <v>136.70344821137635</v>
      </c>
      <c r="I30" s="83">
        <v>0.53</v>
      </c>
      <c r="J30" s="335">
        <v>65</v>
      </c>
      <c r="L30" s="3"/>
      <c r="M30" s="115"/>
      <c r="N30" s="128"/>
    </row>
    <row r="31" spans="1:17" ht="15.6" thickBot="1">
      <c r="A31" s="317" t="s">
        <v>187</v>
      </c>
      <c r="B31" s="170">
        <v>990</v>
      </c>
      <c r="C31" s="171">
        <v>81</v>
      </c>
      <c r="D31" s="120">
        <v>586</v>
      </c>
      <c r="E31" s="79">
        <f t="shared" si="0"/>
        <v>2670.9879999999998</v>
      </c>
      <c r="F31" s="122">
        <v>8.6</v>
      </c>
      <c r="G31" s="123">
        <v>5</v>
      </c>
      <c r="H31" s="124">
        <f t="shared" si="1"/>
        <v>185.4356959533948</v>
      </c>
      <c r="I31" s="125">
        <v>0.53</v>
      </c>
      <c r="J31" s="336">
        <v>70</v>
      </c>
      <c r="L31" s="3"/>
      <c r="M31" s="115"/>
      <c r="N31" s="128"/>
    </row>
    <row r="32" spans="1:17">
      <c r="A32" s="315" t="s">
        <v>188</v>
      </c>
      <c r="B32" s="126">
        <v>239</v>
      </c>
      <c r="C32" s="172">
        <v>3.4</v>
      </c>
      <c r="D32" s="67">
        <v>50.1</v>
      </c>
      <c r="E32" s="68">
        <f>F32*0.53*D32</f>
        <v>7.9659000000000004</v>
      </c>
      <c r="F32" s="173">
        <v>0.3</v>
      </c>
      <c r="G32" s="70">
        <v>5</v>
      </c>
      <c r="H32" s="71">
        <f t="shared" si="1"/>
        <v>15.853802674513787</v>
      </c>
      <c r="I32" s="72">
        <v>0.53</v>
      </c>
      <c r="J32" s="331">
        <v>22</v>
      </c>
      <c r="L32" s="3"/>
      <c r="M32" s="128"/>
      <c r="N32" s="128"/>
    </row>
    <row r="33" spans="1:14">
      <c r="A33" s="316" t="s">
        <v>188</v>
      </c>
      <c r="B33" s="131">
        <v>255</v>
      </c>
      <c r="C33" s="159">
        <v>4.3</v>
      </c>
      <c r="D33" s="78">
        <v>55.4</v>
      </c>
      <c r="E33" s="79">
        <f t="shared" ref="E33:E37" si="2">F33*0.53*D33</f>
        <v>11.744800000000001</v>
      </c>
      <c r="F33" s="174">
        <v>0.4</v>
      </c>
      <c r="G33" s="81">
        <v>5</v>
      </c>
      <c r="H33" s="82">
        <f t="shared" si="1"/>
        <v>17.530951460440395</v>
      </c>
      <c r="I33" s="83">
        <v>0.53</v>
      </c>
      <c r="J33" s="335">
        <v>23</v>
      </c>
      <c r="L33" s="3"/>
      <c r="M33" s="128"/>
      <c r="N33" s="128"/>
    </row>
    <row r="34" spans="1:14">
      <c r="A34" s="316" t="s">
        <v>188</v>
      </c>
      <c r="B34" s="131">
        <v>275</v>
      </c>
      <c r="C34" s="159">
        <v>5.6</v>
      </c>
      <c r="D34" s="78">
        <v>91</v>
      </c>
      <c r="E34" s="79">
        <f>F34*0.53*D34</f>
        <v>21.221200000000003</v>
      </c>
      <c r="F34" s="174">
        <v>0.44</v>
      </c>
      <c r="G34" s="81">
        <v>5</v>
      </c>
      <c r="H34" s="82">
        <f t="shared" si="1"/>
        <v>28.796328211192709</v>
      </c>
      <c r="I34" s="83">
        <v>0.53</v>
      </c>
      <c r="J34" s="335">
        <v>24</v>
      </c>
      <c r="L34" s="3"/>
      <c r="M34" s="128"/>
      <c r="N34" s="128"/>
    </row>
    <row r="35" spans="1:14">
      <c r="A35" s="316" t="s">
        <v>188</v>
      </c>
      <c r="B35" s="131" t="s">
        <v>189</v>
      </c>
      <c r="C35" s="159">
        <v>2.7</v>
      </c>
      <c r="D35" s="78">
        <v>51</v>
      </c>
      <c r="E35" s="79">
        <f t="shared" si="2"/>
        <v>8.109</v>
      </c>
      <c r="F35" s="174">
        <v>0.3</v>
      </c>
      <c r="G35" s="81">
        <v>5</v>
      </c>
      <c r="H35" s="82">
        <f t="shared" si="1"/>
        <v>16.138601524954154</v>
      </c>
      <c r="I35" s="83">
        <v>0.53</v>
      </c>
      <c r="J35" s="335">
        <v>25</v>
      </c>
      <c r="L35" s="3"/>
      <c r="M35" s="128"/>
      <c r="N35" s="128"/>
    </row>
    <row r="36" spans="1:14">
      <c r="A36" s="316" t="s">
        <v>188</v>
      </c>
      <c r="B36" s="131" t="s">
        <v>190</v>
      </c>
      <c r="C36" s="159">
        <v>4.3</v>
      </c>
      <c r="D36" s="78">
        <v>82</v>
      </c>
      <c r="E36" s="79">
        <f t="shared" si="2"/>
        <v>17.384</v>
      </c>
      <c r="F36" s="174">
        <v>0.4</v>
      </c>
      <c r="G36" s="81">
        <v>5</v>
      </c>
      <c r="H36" s="82">
        <f t="shared" si="1"/>
        <v>25.948339706789032</v>
      </c>
      <c r="I36" s="83">
        <v>0.53</v>
      </c>
      <c r="J36" s="335">
        <v>26</v>
      </c>
      <c r="L36" s="3"/>
      <c r="M36" s="128"/>
      <c r="N36" s="128"/>
    </row>
    <row r="37" spans="1:14" ht="15.6" thickBot="1">
      <c r="A37" s="317" t="s">
        <v>188</v>
      </c>
      <c r="B37" s="170" t="s">
        <v>191</v>
      </c>
      <c r="C37" s="171">
        <v>4.9000000000000004</v>
      </c>
      <c r="D37" s="120">
        <v>91</v>
      </c>
      <c r="E37" s="121">
        <f t="shared" si="2"/>
        <v>21.221200000000003</v>
      </c>
      <c r="F37" s="175">
        <v>0.44</v>
      </c>
      <c r="G37" s="123">
        <v>5</v>
      </c>
      <c r="H37" s="124">
        <f t="shared" si="1"/>
        <v>28.796328211192709</v>
      </c>
      <c r="I37" s="125">
        <v>0.53</v>
      </c>
      <c r="J37" s="336">
        <v>27</v>
      </c>
      <c r="L37" s="3"/>
      <c r="M37" s="128"/>
      <c r="N37" s="128"/>
    </row>
    <row r="38" spans="1:14">
      <c r="A38" s="315" t="s">
        <v>9</v>
      </c>
      <c r="B38" s="126" t="s">
        <v>197</v>
      </c>
      <c r="C38" s="172">
        <v>8.1</v>
      </c>
      <c r="D38" s="67">
        <v>59.7</v>
      </c>
      <c r="E38" s="68">
        <f>F38*60*0.53</f>
        <v>73.14</v>
      </c>
      <c r="F38" s="69">
        <v>2.2999999999999998</v>
      </c>
      <c r="G38" s="70">
        <v>5</v>
      </c>
      <c r="H38" s="71">
        <f t="shared" si="1"/>
        <v>18.89165707921104</v>
      </c>
      <c r="I38" s="72">
        <v>0.53</v>
      </c>
      <c r="J38" s="331">
        <v>35</v>
      </c>
      <c r="L38" s="3"/>
      <c r="M38" s="128"/>
      <c r="N38" s="128"/>
    </row>
    <row r="39" spans="1:14">
      <c r="A39" s="316" t="s">
        <v>9</v>
      </c>
      <c r="B39" s="131" t="s">
        <v>198</v>
      </c>
      <c r="C39" s="159">
        <v>8.5</v>
      </c>
      <c r="D39" s="78">
        <v>68.8</v>
      </c>
      <c r="E39" s="79">
        <f>F39*60*0.53</f>
        <v>82.68</v>
      </c>
      <c r="F39" s="80">
        <v>2.6</v>
      </c>
      <c r="G39" s="81">
        <v>5</v>
      </c>
      <c r="H39" s="82">
        <f t="shared" si="1"/>
        <v>21.771289900330309</v>
      </c>
      <c r="I39" s="83">
        <v>0.53</v>
      </c>
      <c r="J39" s="335">
        <v>40</v>
      </c>
      <c r="L39" s="3"/>
      <c r="M39" s="128"/>
      <c r="N39" s="128"/>
    </row>
    <row r="40" spans="1:14">
      <c r="A40" s="316" t="s">
        <v>9</v>
      </c>
      <c r="B40" s="131" t="s">
        <v>199</v>
      </c>
      <c r="C40" s="159">
        <v>9.4</v>
      </c>
      <c r="D40" s="78">
        <v>77.599999999999994</v>
      </c>
      <c r="E40" s="79">
        <f t="shared" ref="E40:E48" si="3">F40*60*0.53</f>
        <v>95.4</v>
      </c>
      <c r="F40" s="80">
        <v>3</v>
      </c>
      <c r="G40" s="81">
        <v>5</v>
      </c>
      <c r="H40" s="82">
        <f t="shared" si="1"/>
        <v>24.555989771302791</v>
      </c>
      <c r="I40" s="83">
        <v>0.53</v>
      </c>
      <c r="J40" s="335">
        <v>45</v>
      </c>
      <c r="L40" s="3"/>
      <c r="M40" s="128"/>
      <c r="N40" s="128"/>
    </row>
    <row r="41" spans="1:14">
      <c r="A41" s="316" t="s">
        <v>9</v>
      </c>
      <c r="B41" s="131" t="s">
        <v>200</v>
      </c>
      <c r="C41" s="159">
        <v>14</v>
      </c>
      <c r="D41" s="78">
        <v>119</v>
      </c>
      <c r="E41" s="79">
        <f t="shared" si="3"/>
        <v>120.84</v>
      </c>
      <c r="F41" s="80">
        <v>3.8</v>
      </c>
      <c r="G41" s="81">
        <v>5</v>
      </c>
      <c r="H41" s="82">
        <f t="shared" si="1"/>
        <v>37.656736891559689</v>
      </c>
      <c r="I41" s="83">
        <v>0.53</v>
      </c>
      <c r="J41" s="335">
        <v>55</v>
      </c>
      <c r="L41" s="3"/>
      <c r="M41" s="128"/>
      <c r="N41" s="128"/>
    </row>
    <row r="42" spans="1:14">
      <c r="A42" s="316" t="s">
        <v>9</v>
      </c>
      <c r="B42" s="162" t="s">
        <v>201</v>
      </c>
      <c r="C42" s="163">
        <v>19.2</v>
      </c>
      <c r="D42" s="95">
        <v>127</v>
      </c>
      <c r="E42" s="96">
        <f t="shared" si="3"/>
        <v>127.2</v>
      </c>
      <c r="F42" s="97">
        <v>4</v>
      </c>
      <c r="G42" s="98">
        <v>5</v>
      </c>
      <c r="H42" s="99">
        <f t="shared" si="1"/>
        <v>40.188282228807402</v>
      </c>
      <c r="I42" s="100">
        <v>0.53</v>
      </c>
      <c r="J42" s="335">
        <v>65</v>
      </c>
      <c r="L42" s="3"/>
      <c r="M42" s="128"/>
      <c r="N42" s="128"/>
    </row>
    <row r="43" spans="1:14">
      <c r="A43" s="316" t="s">
        <v>9</v>
      </c>
      <c r="B43" s="167" t="s">
        <v>202</v>
      </c>
      <c r="C43" s="168">
        <v>24</v>
      </c>
      <c r="D43" s="109">
        <v>187</v>
      </c>
      <c r="E43" s="110">
        <f t="shared" si="3"/>
        <v>219.42000000000002</v>
      </c>
      <c r="F43" s="111">
        <v>6.9</v>
      </c>
      <c r="G43" s="112">
        <v>5</v>
      </c>
      <c r="H43" s="113">
        <f t="shared" si="1"/>
        <v>59.17487225816523</v>
      </c>
      <c r="I43" s="114">
        <v>0.53</v>
      </c>
      <c r="J43" s="335">
        <v>70</v>
      </c>
      <c r="L43" s="3"/>
      <c r="M43" s="128"/>
      <c r="N43" s="128"/>
    </row>
    <row r="44" spans="1:14">
      <c r="A44" s="316" t="s">
        <v>9</v>
      </c>
      <c r="B44" s="131" t="s">
        <v>203</v>
      </c>
      <c r="C44" s="159">
        <v>29.8</v>
      </c>
      <c r="D44" s="78">
        <v>197</v>
      </c>
      <c r="E44" s="79">
        <f t="shared" si="3"/>
        <v>265.21199999999999</v>
      </c>
      <c r="F44" s="80">
        <v>8.34</v>
      </c>
      <c r="G44" s="81">
        <v>5</v>
      </c>
      <c r="H44" s="82">
        <f t="shared" si="1"/>
        <v>62.339303929724871</v>
      </c>
      <c r="I44" s="83">
        <v>0.53</v>
      </c>
      <c r="J44" s="335">
        <v>75</v>
      </c>
      <c r="L44" s="3"/>
      <c r="M44" s="128"/>
      <c r="N44" s="128"/>
    </row>
    <row r="45" spans="1:14">
      <c r="A45" s="316" t="s">
        <v>9</v>
      </c>
      <c r="B45" s="131" t="s">
        <v>204</v>
      </c>
      <c r="C45" s="159">
        <v>40</v>
      </c>
      <c r="D45" s="78">
        <v>296</v>
      </c>
      <c r="E45" s="79">
        <f t="shared" si="3"/>
        <v>327.54000000000002</v>
      </c>
      <c r="F45" s="80">
        <v>10.3</v>
      </c>
      <c r="G45" s="81">
        <v>5</v>
      </c>
      <c r="H45" s="82">
        <f t="shared" si="1"/>
        <v>93.667177478165286</v>
      </c>
      <c r="I45" s="83">
        <v>0.53</v>
      </c>
      <c r="J45" s="335">
        <v>120</v>
      </c>
      <c r="L45" s="3"/>
      <c r="M45" s="128"/>
      <c r="N45" s="128"/>
    </row>
    <row r="46" spans="1:14">
      <c r="A46" s="316" t="s">
        <v>9</v>
      </c>
      <c r="B46" s="131" t="s">
        <v>205</v>
      </c>
      <c r="C46" s="159">
        <v>50</v>
      </c>
      <c r="D46" s="78">
        <v>337</v>
      </c>
      <c r="E46" s="79">
        <f t="shared" si="3"/>
        <v>429.3</v>
      </c>
      <c r="F46" s="80">
        <v>13.5</v>
      </c>
      <c r="G46" s="81">
        <v>5</v>
      </c>
      <c r="H46" s="82">
        <f t="shared" si="1"/>
        <v>106.6413473315598</v>
      </c>
      <c r="I46" s="83">
        <v>0.53</v>
      </c>
      <c r="J46" s="335">
        <v>140</v>
      </c>
      <c r="L46" s="3"/>
      <c r="M46" s="128"/>
      <c r="N46" s="128"/>
    </row>
    <row r="47" spans="1:14">
      <c r="A47" s="316" t="s">
        <v>9</v>
      </c>
      <c r="B47" s="131" t="s">
        <v>206</v>
      </c>
      <c r="C47" s="159">
        <v>70.2</v>
      </c>
      <c r="D47" s="78">
        <v>449</v>
      </c>
      <c r="E47" s="79">
        <f t="shared" si="3"/>
        <v>699.6</v>
      </c>
      <c r="F47" s="80">
        <v>22</v>
      </c>
      <c r="G47" s="81">
        <v>5</v>
      </c>
      <c r="H47" s="82">
        <f t="shared" si="1"/>
        <v>142.08298205302773</v>
      </c>
      <c r="I47" s="83">
        <v>0.53</v>
      </c>
      <c r="J47" s="335">
        <v>160</v>
      </c>
      <c r="L47" s="3"/>
      <c r="M47" s="128"/>
      <c r="N47" s="128"/>
    </row>
    <row r="48" spans="1:14" ht="15.6" thickBot="1">
      <c r="A48" s="318" t="s">
        <v>9</v>
      </c>
      <c r="B48" s="133" t="s">
        <v>207</v>
      </c>
      <c r="C48" s="177">
        <v>106.8</v>
      </c>
      <c r="D48" s="135">
        <v>757</v>
      </c>
      <c r="E48" s="136">
        <f t="shared" si="3"/>
        <v>864.96</v>
      </c>
      <c r="F48" s="148">
        <v>27.2</v>
      </c>
      <c r="G48" s="138">
        <v>5</v>
      </c>
      <c r="H48" s="139">
        <f t="shared" si="1"/>
        <v>239.54747753706462</v>
      </c>
      <c r="I48" s="140">
        <v>0.53</v>
      </c>
      <c r="J48" s="337">
        <v>180</v>
      </c>
      <c r="L48" s="3"/>
      <c r="M48" s="128"/>
      <c r="N48" s="128"/>
    </row>
    <row r="49" spans="1:21">
      <c r="A49" s="319" t="s">
        <v>5</v>
      </c>
      <c r="B49" s="150">
        <v>120</v>
      </c>
      <c r="C49" s="151">
        <v>15.9</v>
      </c>
      <c r="D49" s="152">
        <v>97</v>
      </c>
      <c r="E49" s="180">
        <f>F49*0.53*D49</f>
        <v>190.21700000000004</v>
      </c>
      <c r="F49" s="181">
        <v>3.7</v>
      </c>
      <c r="G49" s="154">
        <v>5</v>
      </c>
      <c r="H49" s="155">
        <f t="shared" si="1"/>
        <v>30.694987214128489</v>
      </c>
      <c r="I49" s="156">
        <v>0.53</v>
      </c>
      <c r="J49" s="338">
        <v>80</v>
      </c>
      <c r="L49" s="3"/>
      <c r="M49" s="128"/>
      <c r="N49" s="128"/>
    </row>
    <row r="50" spans="1:21">
      <c r="A50" s="316" t="s">
        <v>5</v>
      </c>
      <c r="B50" s="131">
        <v>140</v>
      </c>
      <c r="C50" s="159">
        <v>19.3</v>
      </c>
      <c r="D50" s="78">
        <v>133</v>
      </c>
      <c r="E50" s="182">
        <f>F50*0.53*D50</f>
        <v>260.81300000000005</v>
      </c>
      <c r="F50" s="183">
        <v>3.7</v>
      </c>
      <c r="G50" s="81">
        <v>5</v>
      </c>
      <c r="H50" s="82">
        <f t="shared" si="1"/>
        <v>42.086941231743189</v>
      </c>
      <c r="I50" s="83">
        <v>0.53</v>
      </c>
      <c r="J50" s="335">
        <v>110</v>
      </c>
      <c r="L50" s="3"/>
      <c r="M50" s="128"/>
      <c r="N50" s="128"/>
    </row>
    <row r="51" spans="1:21">
      <c r="A51" s="316" t="s">
        <v>5</v>
      </c>
      <c r="B51" s="131">
        <v>150</v>
      </c>
      <c r="C51" s="159">
        <v>19.899999999999999</v>
      </c>
      <c r="D51" s="78">
        <v>149</v>
      </c>
      <c r="E51" s="182">
        <f t="shared" ref="E51:E54" si="4">F51*0.53*D51</f>
        <v>292.18900000000002</v>
      </c>
      <c r="F51" s="183">
        <v>3.7</v>
      </c>
      <c r="G51" s="81">
        <v>5</v>
      </c>
      <c r="H51" s="82">
        <f t="shared" si="1"/>
        <v>47.150031906238603</v>
      </c>
      <c r="I51" s="83">
        <v>0.53</v>
      </c>
      <c r="J51" s="335">
        <v>115</v>
      </c>
      <c r="L51" s="3"/>
      <c r="M51" s="128"/>
      <c r="N51" s="128"/>
    </row>
    <row r="52" spans="1:21">
      <c r="A52" s="316" t="s">
        <v>5</v>
      </c>
      <c r="B52" s="131">
        <v>160</v>
      </c>
      <c r="C52" s="159">
        <v>20.7</v>
      </c>
      <c r="D52" s="78">
        <v>165</v>
      </c>
      <c r="E52" s="182">
        <f t="shared" si="4"/>
        <v>367.29000000000008</v>
      </c>
      <c r="F52" s="183">
        <v>4.2</v>
      </c>
      <c r="G52" s="81">
        <v>5</v>
      </c>
      <c r="H52" s="82">
        <f t="shared" si="1"/>
        <v>52.21312258073403</v>
      </c>
      <c r="I52" s="83">
        <v>0.53</v>
      </c>
      <c r="J52" s="335">
        <v>120</v>
      </c>
      <c r="L52" s="3"/>
      <c r="M52" s="128"/>
      <c r="N52" s="128"/>
    </row>
    <row r="53" spans="1:21">
      <c r="A53" s="316" t="s">
        <v>5</v>
      </c>
      <c r="B53" s="131">
        <v>14</v>
      </c>
      <c r="C53" s="159">
        <v>26</v>
      </c>
      <c r="D53" s="78">
        <v>178</v>
      </c>
      <c r="E53" s="182">
        <f t="shared" si="4"/>
        <v>405.66199999999998</v>
      </c>
      <c r="F53" s="183">
        <v>4.3</v>
      </c>
      <c r="G53" s="81">
        <v>5</v>
      </c>
      <c r="H53" s="82">
        <f t="shared" si="1"/>
        <v>56.326883753761557</v>
      </c>
      <c r="I53" s="83">
        <v>0.53</v>
      </c>
      <c r="J53" s="335">
        <v>130</v>
      </c>
      <c r="L53" s="3"/>
      <c r="M53" s="128"/>
      <c r="N53" s="128"/>
    </row>
    <row r="54" spans="1:21" ht="15.6" thickBot="1">
      <c r="A54" s="317" t="s">
        <v>5</v>
      </c>
      <c r="B54" s="346">
        <v>16</v>
      </c>
      <c r="C54" s="347">
        <v>32.4</v>
      </c>
      <c r="D54" s="348">
        <v>216</v>
      </c>
      <c r="E54" s="349">
        <f t="shared" si="4"/>
        <v>560.95200000000011</v>
      </c>
      <c r="F54" s="350">
        <v>4.9000000000000004</v>
      </c>
      <c r="G54" s="351">
        <v>5</v>
      </c>
      <c r="H54" s="352">
        <f t="shared" si="1"/>
        <v>68.351724105688177</v>
      </c>
      <c r="I54" s="353">
        <v>0.53</v>
      </c>
      <c r="J54" s="354">
        <v>140</v>
      </c>
      <c r="L54" s="3"/>
      <c r="M54" s="128"/>
      <c r="N54" s="128"/>
    </row>
    <row r="55" spans="1:21">
      <c r="A55" s="315" t="s">
        <v>208</v>
      </c>
      <c r="B55" s="126" t="s">
        <v>209</v>
      </c>
      <c r="C55" s="172">
        <v>4.7</v>
      </c>
      <c r="D55" s="67">
        <v>55.6</v>
      </c>
      <c r="E55" s="193">
        <f>D55*0.53*F55*2</f>
        <v>76.616800000000012</v>
      </c>
      <c r="F55" s="194">
        <v>1.3</v>
      </c>
      <c r="G55" s="355">
        <v>5</v>
      </c>
      <c r="H55" s="71">
        <f t="shared" ref="H55:H77" si="5">D55*I55*(0.6957*G55^-0.095)</f>
        <v>17.594240093871591</v>
      </c>
      <c r="I55" s="72">
        <v>0.53</v>
      </c>
      <c r="J55" s="331">
        <v>35</v>
      </c>
      <c r="L55" s="3"/>
      <c r="M55" s="186"/>
      <c r="N55" s="128"/>
    </row>
    <row r="56" spans="1:21">
      <c r="A56" s="316" t="s">
        <v>208</v>
      </c>
      <c r="B56" s="131" t="s">
        <v>210</v>
      </c>
      <c r="C56" s="159">
        <v>7.7</v>
      </c>
      <c r="D56" s="78">
        <v>74.400000000000006</v>
      </c>
      <c r="E56" s="180">
        <f t="shared" ref="E56:E62" si="6">D56*0.53*F56*2</f>
        <v>134.06880000000001</v>
      </c>
      <c r="F56" s="183">
        <v>1.7</v>
      </c>
      <c r="G56" s="351">
        <v>5</v>
      </c>
      <c r="H56" s="82">
        <f t="shared" si="5"/>
        <v>23.543371636403709</v>
      </c>
      <c r="I56" s="83">
        <v>0.53</v>
      </c>
      <c r="J56" s="335">
        <v>40</v>
      </c>
      <c r="L56" s="3"/>
      <c r="M56" s="186"/>
      <c r="N56" s="128"/>
    </row>
    <row r="57" spans="1:21">
      <c r="A57" s="316" t="s">
        <v>208</v>
      </c>
      <c r="B57" s="131" t="s">
        <v>211</v>
      </c>
      <c r="C57" s="159">
        <v>10.5</v>
      </c>
      <c r="D57" s="78">
        <v>92</v>
      </c>
      <c r="E57" s="180">
        <f t="shared" si="6"/>
        <v>214.54400000000004</v>
      </c>
      <c r="F57" s="183">
        <v>2.2000000000000002</v>
      </c>
      <c r="G57" s="351">
        <v>5</v>
      </c>
      <c r="H57" s="82">
        <f t="shared" si="5"/>
        <v>29.112771378348672</v>
      </c>
      <c r="I57" s="83">
        <v>0.53</v>
      </c>
      <c r="J57" s="335">
        <v>45</v>
      </c>
      <c r="L57" s="3"/>
      <c r="M57" s="186"/>
      <c r="N57" s="128"/>
    </row>
    <row r="58" spans="1:21">
      <c r="A58" s="316" t="s">
        <v>208</v>
      </c>
      <c r="B58" s="131" t="s">
        <v>212</v>
      </c>
      <c r="C58" s="159">
        <v>11.2</v>
      </c>
      <c r="D58" s="78">
        <v>91.7</v>
      </c>
      <c r="E58" s="180">
        <f t="shared" si="6"/>
        <v>204.12420000000003</v>
      </c>
      <c r="F58" s="183">
        <v>2.1</v>
      </c>
      <c r="G58" s="351">
        <v>5</v>
      </c>
      <c r="H58" s="82">
        <f t="shared" si="5"/>
        <v>29.017838428201884</v>
      </c>
      <c r="I58" s="83">
        <v>0.53</v>
      </c>
      <c r="J58" s="335">
        <v>47</v>
      </c>
      <c r="L58" s="3"/>
      <c r="M58" s="186"/>
      <c r="N58" s="128"/>
    </row>
    <row r="59" spans="1:21">
      <c r="A59" s="316" t="s">
        <v>208</v>
      </c>
      <c r="B59" s="131" t="s">
        <v>213</v>
      </c>
      <c r="C59" s="159">
        <v>11.5</v>
      </c>
      <c r="D59" s="78">
        <v>119</v>
      </c>
      <c r="E59" s="180">
        <f t="shared" si="6"/>
        <v>264.89400000000001</v>
      </c>
      <c r="F59" s="183">
        <v>2.1</v>
      </c>
      <c r="G59" s="351">
        <v>5</v>
      </c>
      <c r="H59" s="82">
        <f t="shared" si="5"/>
        <v>37.656736891559689</v>
      </c>
      <c r="I59" s="83">
        <v>0.53</v>
      </c>
      <c r="J59" s="335">
        <v>48</v>
      </c>
      <c r="L59" s="3"/>
      <c r="M59" s="187"/>
      <c r="N59" s="187"/>
    </row>
    <row r="60" spans="1:21">
      <c r="A60" s="316" t="s">
        <v>208</v>
      </c>
      <c r="B60" s="162" t="s">
        <v>214</v>
      </c>
      <c r="C60" s="163">
        <v>14.6</v>
      </c>
      <c r="D60" s="95">
        <v>119</v>
      </c>
      <c r="E60" s="188">
        <f t="shared" si="6"/>
        <v>264.89400000000001</v>
      </c>
      <c r="F60" s="189">
        <v>2.1</v>
      </c>
      <c r="G60" s="356">
        <v>5</v>
      </c>
      <c r="H60" s="99">
        <f t="shared" si="5"/>
        <v>37.656736891559689</v>
      </c>
      <c r="I60" s="100">
        <v>0.53</v>
      </c>
      <c r="J60" s="335">
        <v>50</v>
      </c>
      <c r="L60" s="3"/>
      <c r="M60" s="187"/>
      <c r="N60" s="128"/>
    </row>
    <row r="61" spans="1:21">
      <c r="A61" s="316" t="s">
        <v>208</v>
      </c>
      <c r="B61" s="131" t="s">
        <v>215</v>
      </c>
      <c r="C61" s="159">
        <v>16.100000000000001</v>
      </c>
      <c r="D61" s="78">
        <v>131</v>
      </c>
      <c r="E61" s="180">
        <f t="shared" si="6"/>
        <v>291.60600000000005</v>
      </c>
      <c r="F61" s="183">
        <v>2.1</v>
      </c>
      <c r="G61" s="351">
        <v>5</v>
      </c>
      <c r="H61" s="82">
        <f t="shared" si="5"/>
        <v>41.454054897431263</v>
      </c>
      <c r="I61" s="83">
        <v>0.53</v>
      </c>
      <c r="J61" s="335">
        <v>55</v>
      </c>
      <c r="L61" s="3"/>
      <c r="M61" s="187"/>
      <c r="N61" s="128"/>
    </row>
    <row r="62" spans="1:21" ht="15.6" thickBot="1">
      <c r="A62" s="318" t="s">
        <v>208</v>
      </c>
      <c r="B62" s="133" t="s">
        <v>216</v>
      </c>
      <c r="C62" s="177">
        <v>18.899999999999999</v>
      </c>
      <c r="D62" s="135">
        <v>131</v>
      </c>
      <c r="E62" s="357">
        <f t="shared" si="6"/>
        <v>291.60600000000005</v>
      </c>
      <c r="F62" s="185">
        <v>2.1</v>
      </c>
      <c r="G62" s="138">
        <v>5</v>
      </c>
      <c r="H62" s="139">
        <f t="shared" si="5"/>
        <v>41.454054897431263</v>
      </c>
      <c r="I62" s="140">
        <v>0.53</v>
      </c>
      <c r="J62" s="337">
        <v>65</v>
      </c>
      <c r="L62" s="3"/>
      <c r="M62" s="187"/>
      <c r="N62" s="128"/>
      <c r="P62" s="192"/>
      <c r="Q62" s="192"/>
      <c r="R62" s="192"/>
      <c r="S62" s="192"/>
      <c r="T62" s="192"/>
      <c r="U62" s="7"/>
    </row>
    <row r="63" spans="1:21">
      <c r="A63" s="315" t="s">
        <v>217</v>
      </c>
      <c r="B63" s="126" t="s">
        <v>218</v>
      </c>
      <c r="C63" s="172">
        <v>21.2</v>
      </c>
      <c r="D63" s="67">
        <v>256</v>
      </c>
      <c r="E63" s="193">
        <f t="shared" ref="E63:E67" si="7">D63*0.53*F63</f>
        <v>135.68</v>
      </c>
      <c r="F63" s="194">
        <v>1</v>
      </c>
      <c r="G63" s="70">
        <v>5</v>
      </c>
      <c r="H63" s="71">
        <f t="shared" si="5"/>
        <v>81.009450791926739</v>
      </c>
      <c r="I63" s="72">
        <v>0.53</v>
      </c>
      <c r="J63" s="331">
        <v>130</v>
      </c>
      <c r="L63" s="3"/>
      <c r="M63" s="128"/>
      <c r="N63" s="128"/>
      <c r="P63" s="195"/>
      <c r="Q63" s="196"/>
      <c r="R63" s="197"/>
      <c r="S63" s="198"/>
      <c r="T63" s="8"/>
      <c r="U63" s="199"/>
    </row>
    <row r="64" spans="1:21">
      <c r="A64" s="316" t="s">
        <v>217</v>
      </c>
      <c r="B64" s="131" t="s">
        <v>219</v>
      </c>
      <c r="C64" s="159">
        <v>21.6</v>
      </c>
      <c r="D64" s="78">
        <v>256</v>
      </c>
      <c r="E64" s="182">
        <f t="shared" si="7"/>
        <v>176.38400000000001</v>
      </c>
      <c r="F64" s="183">
        <v>1.3</v>
      </c>
      <c r="G64" s="81">
        <v>5</v>
      </c>
      <c r="H64" s="82">
        <f t="shared" si="5"/>
        <v>81.009450791926739</v>
      </c>
      <c r="I64" s="83">
        <v>0.53</v>
      </c>
      <c r="J64" s="335">
        <v>190</v>
      </c>
      <c r="L64" s="3"/>
      <c r="M64" s="128"/>
      <c r="N64" s="128"/>
      <c r="P64" s="195"/>
      <c r="Q64" s="196"/>
      <c r="R64" s="197"/>
      <c r="S64" s="198"/>
      <c r="T64" s="8"/>
      <c r="U64" s="199"/>
    </row>
    <row r="65" spans="1:23">
      <c r="A65" s="316" t="s">
        <v>217</v>
      </c>
      <c r="B65" s="162" t="s">
        <v>220</v>
      </c>
      <c r="C65" s="163">
        <v>31.5</v>
      </c>
      <c r="D65" s="95">
        <v>474</v>
      </c>
      <c r="E65" s="200">
        <f t="shared" si="7"/>
        <v>502.44</v>
      </c>
      <c r="F65" s="189">
        <v>2</v>
      </c>
      <c r="G65" s="98">
        <v>5</v>
      </c>
      <c r="H65" s="99">
        <f t="shared" si="5"/>
        <v>149.99406123192685</v>
      </c>
      <c r="I65" s="100">
        <v>0.53</v>
      </c>
      <c r="J65" s="335">
        <v>250</v>
      </c>
      <c r="L65" s="3"/>
      <c r="M65" s="128"/>
      <c r="N65" s="128"/>
      <c r="P65" s="195"/>
      <c r="Q65" s="196"/>
      <c r="R65" s="197"/>
      <c r="S65" s="198"/>
      <c r="T65" s="8"/>
      <c r="U65" s="199"/>
    </row>
    <row r="66" spans="1:23">
      <c r="A66" s="316" t="s">
        <v>217</v>
      </c>
      <c r="B66" s="131" t="s">
        <v>221</v>
      </c>
      <c r="C66" s="159">
        <v>34.1</v>
      </c>
      <c r="D66" s="78">
        <v>601</v>
      </c>
      <c r="E66" s="182">
        <f t="shared" si="7"/>
        <v>637.06000000000006</v>
      </c>
      <c r="F66" s="183">
        <v>2</v>
      </c>
      <c r="G66" s="81">
        <v>5</v>
      </c>
      <c r="H66" s="82">
        <f t="shared" si="5"/>
        <v>190.18234346073424</v>
      </c>
      <c r="I66" s="83">
        <v>0.53</v>
      </c>
      <c r="J66" s="335">
        <v>280</v>
      </c>
      <c r="L66" s="3"/>
      <c r="M66" s="128"/>
      <c r="N66" s="128"/>
      <c r="P66" s="195"/>
      <c r="Q66" s="196"/>
      <c r="R66" s="197"/>
      <c r="S66" s="198"/>
      <c r="T66" s="8"/>
      <c r="U66" s="199"/>
    </row>
    <row r="67" spans="1:23" ht="15.6" thickBot="1">
      <c r="A67" s="318" t="s">
        <v>217</v>
      </c>
      <c r="B67" s="133" t="s">
        <v>222</v>
      </c>
      <c r="C67" s="177">
        <v>34.6</v>
      </c>
      <c r="D67" s="135">
        <v>601</v>
      </c>
      <c r="E67" s="184">
        <f t="shared" si="7"/>
        <v>700.76600000000008</v>
      </c>
      <c r="F67" s="185">
        <v>2.2000000000000002</v>
      </c>
      <c r="G67" s="138">
        <v>5</v>
      </c>
      <c r="H67" s="139">
        <f t="shared" si="5"/>
        <v>190.18234346073424</v>
      </c>
      <c r="I67" s="140">
        <v>0.53</v>
      </c>
      <c r="J67" s="337">
        <v>300</v>
      </c>
      <c r="L67" s="3"/>
      <c r="M67" s="128"/>
      <c r="N67" s="128"/>
      <c r="P67" s="195"/>
      <c r="Q67" s="196"/>
      <c r="R67" s="197"/>
      <c r="S67" s="198"/>
      <c r="T67" s="8"/>
      <c r="U67" s="199"/>
    </row>
    <row r="68" spans="1:23">
      <c r="A68" s="321" t="s">
        <v>223</v>
      </c>
      <c r="B68" s="170" t="s">
        <v>224</v>
      </c>
      <c r="C68" s="171">
        <v>30.6</v>
      </c>
      <c r="D68" s="120">
        <v>455</v>
      </c>
      <c r="E68" s="201">
        <f t="shared" ref="E68:E69" si="8">D68*0.53*F68</f>
        <v>588.40599999999995</v>
      </c>
      <c r="F68" s="191">
        <v>2.44</v>
      </c>
      <c r="G68" s="123">
        <v>5</v>
      </c>
      <c r="H68" s="124">
        <f t="shared" si="5"/>
        <v>143.98164105596354</v>
      </c>
      <c r="I68" s="125">
        <v>0.53</v>
      </c>
      <c r="J68" s="336">
        <v>320</v>
      </c>
      <c r="L68" s="3"/>
      <c r="M68" s="128"/>
      <c r="N68" s="128"/>
      <c r="P68" s="195"/>
      <c r="Q68" s="196"/>
      <c r="R68" s="197"/>
      <c r="S68" s="198"/>
      <c r="T68" s="8"/>
      <c r="U68" s="199"/>
    </row>
    <row r="69" spans="1:23">
      <c r="A69" s="321" t="s">
        <v>223</v>
      </c>
      <c r="B69" s="170" t="s">
        <v>225</v>
      </c>
      <c r="C69" s="171">
        <v>31.7</v>
      </c>
      <c r="D69" s="120">
        <v>563</v>
      </c>
      <c r="E69" s="201">
        <f t="shared" si="8"/>
        <v>716.13600000000008</v>
      </c>
      <c r="F69" s="191">
        <v>2.4</v>
      </c>
      <c r="G69" s="123">
        <v>5</v>
      </c>
      <c r="H69" s="124">
        <f t="shared" si="5"/>
        <v>178.15750310880765</v>
      </c>
      <c r="I69" s="125">
        <v>0.53</v>
      </c>
      <c r="J69" s="336">
        <v>350</v>
      </c>
      <c r="L69" s="3"/>
      <c r="M69" s="128"/>
      <c r="N69" s="128"/>
      <c r="P69" s="195"/>
      <c r="Q69" s="196"/>
      <c r="R69" s="197"/>
      <c r="S69" s="198"/>
      <c r="T69" s="8"/>
      <c r="U69" s="199"/>
    </row>
    <row r="70" spans="1:23" ht="15.6" thickBot="1">
      <c r="A70" s="321" t="s">
        <v>223</v>
      </c>
      <c r="B70" s="170" t="s">
        <v>226</v>
      </c>
      <c r="C70" s="171">
        <v>3</v>
      </c>
      <c r="D70" s="120">
        <v>250</v>
      </c>
      <c r="E70" s="201">
        <f>D70*0.53*F70</f>
        <v>323.3</v>
      </c>
      <c r="F70" s="191">
        <v>2.44</v>
      </c>
      <c r="G70" s="123">
        <v>5</v>
      </c>
      <c r="H70" s="124">
        <f t="shared" si="5"/>
        <v>79.110791788990952</v>
      </c>
      <c r="I70" s="125">
        <v>0.53</v>
      </c>
      <c r="J70" s="336">
        <v>250</v>
      </c>
      <c r="L70" s="3"/>
      <c r="M70" s="128"/>
      <c r="N70" s="128"/>
    </row>
    <row r="71" spans="1:23">
      <c r="A71" s="315" t="s">
        <v>227</v>
      </c>
      <c r="B71" s="126" t="s">
        <v>228</v>
      </c>
      <c r="C71" s="172">
        <v>4.8</v>
      </c>
      <c r="D71" s="67">
        <f>D127</f>
        <v>81</v>
      </c>
      <c r="E71" s="202">
        <f>D71/F71</f>
        <v>8.1</v>
      </c>
      <c r="F71" s="69">
        <v>10</v>
      </c>
      <c r="G71" s="70">
        <v>5</v>
      </c>
      <c r="H71" s="71">
        <f t="shared" si="5"/>
        <v>25.631896539633068</v>
      </c>
      <c r="I71" s="72">
        <v>0.53</v>
      </c>
      <c r="J71" s="331">
        <v>120</v>
      </c>
      <c r="L71" s="3"/>
      <c r="M71" s="197"/>
      <c r="N71" s="128"/>
    </row>
    <row r="72" spans="1:23">
      <c r="A72" s="316" t="s">
        <v>227</v>
      </c>
      <c r="B72" s="131" t="s">
        <v>229</v>
      </c>
      <c r="C72" s="159">
        <v>6.2</v>
      </c>
      <c r="D72" s="78">
        <f>D128</f>
        <v>174.98138495904692</v>
      </c>
      <c r="E72" s="203">
        <f>D72/F72</f>
        <v>14.581782079920577</v>
      </c>
      <c r="F72" s="80">
        <v>12</v>
      </c>
      <c r="G72" s="81">
        <v>5</v>
      </c>
      <c r="H72" s="82">
        <f t="shared" si="5"/>
        <v>55.371663649777737</v>
      </c>
      <c r="I72" s="83">
        <v>0.53</v>
      </c>
      <c r="J72" s="335">
        <v>130</v>
      </c>
      <c r="L72" s="3"/>
      <c r="M72" s="197"/>
      <c r="N72" s="128"/>
    </row>
    <row r="73" spans="1:23" ht="15.6" thickBot="1">
      <c r="A73" s="318" t="s">
        <v>227</v>
      </c>
      <c r="B73" s="204" t="s">
        <v>230</v>
      </c>
      <c r="C73" s="205">
        <v>8.4</v>
      </c>
      <c r="D73" s="206">
        <f>D131</f>
        <v>223.38049143708116</v>
      </c>
      <c r="E73" s="207">
        <f>D73/F73</f>
        <v>12.410027302060065</v>
      </c>
      <c r="F73" s="208">
        <v>18</v>
      </c>
      <c r="G73" s="209">
        <v>5</v>
      </c>
      <c r="H73" s="210">
        <f t="shared" si="5"/>
        <v>70.687230191205614</v>
      </c>
      <c r="I73" s="211">
        <v>0.53</v>
      </c>
      <c r="J73" s="337">
        <v>180</v>
      </c>
      <c r="L73" s="3"/>
      <c r="N73" s="197"/>
      <c r="O73" s="61"/>
    </row>
    <row r="74" spans="1:23">
      <c r="A74" s="315" t="s">
        <v>231</v>
      </c>
      <c r="B74" s="126" t="s">
        <v>232</v>
      </c>
      <c r="C74" s="172">
        <v>33.35</v>
      </c>
      <c r="D74" s="67">
        <v>257</v>
      </c>
      <c r="E74" s="212">
        <f>D74*0.25</f>
        <v>64.25</v>
      </c>
      <c r="F74" s="213">
        <v>5</v>
      </c>
      <c r="G74" s="70">
        <v>5</v>
      </c>
      <c r="H74" s="71">
        <f t="shared" si="5"/>
        <v>81.325893959082705</v>
      </c>
      <c r="I74" s="72">
        <v>0.53</v>
      </c>
      <c r="J74" s="331">
        <v>220</v>
      </c>
      <c r="L74" s="3"/>
      <c r="M74" s="128"/>
      <c r="N74" s="214"/>
      <c r="P74" s="4"/>
      <c r="Q74" s="215"/>
      <c r="R74" s="216"/>
      <c r="S74" s="176"/>
      <c r="T74" s="217"/>
      <c r="U74" s="7"/>
      <c r="V74" s="218"/>
      <c r="W74" s="219"/>
    </row>
    <row r="75" spans="1:23" ht="15.6">
      <c r="A75" s="319" t="s">
        <v>231</v>
      </c>
      <c r="B75" s="150" t="s">
        <v>233</v>
      </c>
      <c r="C75" s="220">
        <v>51.1</v>
      </c>
      <c r="D75" s="152">
        <v>328</v>
      </c>
      <c r="E75" s="178">
        <f>D75*0.25</f>
        <v>82</v>
      </c>
      <c r="F75" s="221">
        <v>5</v>
      </c>
      <c r="G75" s="154">
        <v>5</v>
      </c>
      <c r="H75" s="82">
        <f t="shared" si="5"/>
        <v>103.79335882715613</v>
      </c>
      <c r="I75" s="156">
        <v>0.53</v>
      </c>
      <c r="J75" s="338">
        <v>250</v>
      </c>
      <c r="L75" s="3"/>
      <c r="M75" s="176"/>
      <c r="N75" s="128"/>
      <c r="P75" s="4"/>
      <c r="Q75" s="215"/>
      <c r="R75" s="216"/>
      <c r="S75" s="4"/>
      <c r="T75" s="217"/>
      <c r="U75" s="7"/>
      <c r="V75" s="218"/>
      <c r="W75" s="219"/>
    </row>
    <row r="76" spans="1:23">
      <c r="A76" s="319" t="s">
        <v>231</v>
      </c>
      <c r="B76" s="150" t="s">
        <v>234</v>
      </c>
      <c r="C76" s="151">
        <v>61</v>
      </c>
      <c r="D76" s="152">
        <v>571</v>
      </c>
      <c r="E76" s="178">
        <f t="shared" ref="E76:E82" si="9">D76*0.25</f>
        <v>142.75</v>
      </c>
      <c r="F76" s="153">
        <v>8</v>
      </c>
      <c r="G76" s="154">
        <v>5</v>
      </c>
      <c r="H76" s="82">
        <f t="shared" si="5"/>
        <v>180.68904844605532</v>
      </c>
      <c r="I76" s="156">
        <v>0.53</v>
      </c>
      <c r="J76" s="338">
        <v>350</v>
      </c>
      <c r="L76" s="3"/>
      <c r="M76" s="115"/>
      <c r="N76" s="128"/>
      <c r="P76" s="4"/>
      <c r="Q76" s="215"/>
      <c r="R76" s="216"/>
      <c r="S76" s="4"/>
      <c r="T76" s="217"/>
      <c r="U76" s="7"/>
      <c r="V76" s="218"/>
      <c r="W76" s="219"/>
    </row>
    <row r="77" spans="1:23">
      <c r="A77" s="319" t="s">
        <v>231</v>
      </c>
      <c r="B77" s="222" t="s">
        <v>235</v>
      </c>
      <c r="C77" s="223">
        <v>48.7</v>
      </c>
      <c r="D77" s="224">
        <v>403</v>
      </c>
      <c r="E77" s="225">
        <f t="shared" si="9"/>
        <v>100.75</v>
      </c>
      <c r="F77" s="226">
        <v>6</v>
      </c>
      <c r="G77" s="227">
        <v>5</v>
      </c>
      <c r="H77" s="113">
        <f t="shared" si="5"/>
        <v>127.52659636385341</v>
      </c>
      <c r="I77" s="228">
        <v>0.53</v>
      </c>
      <c r="J77" s="338">
        <v>300</v>
      </c>
      <c r="L77" s="3"/>
      <c r="M77" s="115"/>
      <c r="N77" s="128"/>
      <c r="P77" s="4"/>
      <c r="Q77" s="215"/>
      <c r="R77" s="216"/>
      <c r="S77" s="4"/>
      <c r="T77" s="217"/>
      <c r="U77" s="7"/>
      <c r="V77" s="218"/>
      <c r="W77" s="219"/>
    </row>
    <row r="78" spans="1:23" ht="15.6" thickBot="1">
      <c r="A78" s="322" t="s">
        <v>231</v>
      </c>
      <c r="B78" s="247" t="s">
        <v>236</v>
      </c>
      <c r="C78" s="248">
        <v>35.4</v>
      </c>
      <c r="D78" s="249">
        <v>205</v>
      </c>
      <c r="E78" s="179">
        <f t="shared" si="9"/>
        <v>51.25</v>
      </c>
      <c r="F78" s="233">
        <v>5</v>
      </c>
      <c r="G78" s="250">
        <v>5</v>
      </c>
      <c r="H78" s="139">
        <f>D78*I78*(0.6957*G78^-0.095)</f>
        <v>64.870849266972584</v>
      </c>
      <c r="I78" s="251">
        <v>0.53</v>
      </c>
      <c r="J78" s="340">
        <v>200</v>
      </c>
      <c r="L78" s="3"/>
      <c r="M78" s="115"/>
      <c r="N78" s="128"/>
      <c r="P78" s="4"/>
      <c r="Q78" s="215"/>
      <c r="R78" s="216"/>
      <c r="S78" s="4"/>
      <c r="T78" s="217"/>
      <c r="U78" s="7"/>
      <c r="V78" s="218"/>
      <c r="W78" s="219"/>
    </row>
    <row r="79" spans="1:23">
      <c r="A79" s="358" t="s">
        <v>231</v>
      </c>
      <c r="B79" s="359" t="s">
        <v>237</v>
      </c>
      <c r="C79" s="151">
        <v>36.9</v>
      </c>
      <c r="D79" s="152">
        <v>187</v>
      </c>
      <c r="E79" s="203">
        <f t="shared" si="9"/>
        <v>46.75</v>
      </c>
      <c r="F79" s="221"/>
      <c r="G79" s="154">
        <v>5</v>
      </c>
      <c r="H79" s="155">
        <f t="shared" ref="H79:H93" si="10">D79*I79*(0.6957*G79^-0.095)</f>
        <v>59.17487225816523</v>
      </c>
      <c r="I79" s="156">
        <v>0.53</v>
      </c>
      <c r="J79" s="338">
        <v>180</v>
      </c>
      <c r="L79" s="3"/>
      <c r="M79" s="115"/>
      <c r="N79" s="128"/>
      <c r="P79" s="231"/>
      <c r="Q79" s="215"/>
      <c r="R79" s="216"/>
      <c r="S79" s="4"/>
      <c r="T79" s="217"/>
      <c r="U79" s="7"/>
      <c r="V79" s="218"/>
      <c r="W79" s="219"/>
    </row>
    <row r="80" spans="1:23" ht="15.6" thickBot="1">
      <c r="A80" s="323" t="s">
        <v>231</v>
      </c>
      <c r="B80" s="232" t="s">
        <v>238</v>
      </c>
      <c r="C80" s="177">
        <v>58.7</v>
      </c>
      <c r="D80" s="135">
        <v>265</v>
      </c>
      <c r="E80" s="179">
        <f t="shared" si="9"/>
        <v>66.25</v>
      </c>
      <c r="F80" s="233"/>
      <c r="G80" s="138">
        <v>5</v>
      </c>
      <c r="H80" s="139">
        <f t="shared" si="10"/>
        <v>83.857439296330412</v>
      </c>
      <c r="I80" s="140">
        <v>0.53</v>
      </c>
      <c r="J80" s="337">
        <v>200</v>
      </c>
      <c r="L80" s="3"/>
      <c r="M80" s="115"/>
      <c r="N80" s="128"/>
      <c r="P80" s="195"/>
      <c r="Q80" s="196"/>
      <c r="R80" s="234"/>
      <c r="S80" s="198"/>
      <c r="T80" s="8"/>
      <c r="U80" s="199"/>
      <c r="V80" s="235"/>
    </row>
    <row r="81" spans="1:22">
      <c r="A81" s="323" t="s">
        <v>231</v>
      </c>
      <c r="B81" s="230" t="s">
        <v>239</v>
      </c>
      <c r="C81" s="172">
        <v>29</v>
      </c>
      <c r="D81" s="67">
        <v>168</v>
      </c>
      <c r="E81" s="202">
        <f t="shared" si="9"/>
        <v>42</v>
      </c>
      <c r="F81" s="236"/>
      <c r="G81" s="70">
        <v>5</v>
      </c>
      <c r="H81" s="71">
        <f t="shared" si="10"/>
        <v>53.162452082201924</v>
      </c>
      <c r="I81" s="72">
        <v>0.53</v>
      </c>
      <c r="J81" s="331">
        <v>180</v>
      </c>
      <c r="L81" s="3"/>
      <c r="M81" s="237"/>
      <c r="N81" s="128"/>
      <c r="P81" s="195"/>
      <c r="Q81" s="196"/>
      <c r="R81" s="197"/>
      <c r="S81" s="198"/>
      <c r="T81" s="8"/>
      <c r="U81" s="199"/>
      <c r="V81" s="235"/>
    </row>
    <row r="82" spans="1:22" ht="15.6" thickBot="1">
      <c r="A82" s="324" t="s">
        <v>231</v>
      </c>
      <c r="B82" s="232" t="s">
        <v>240</v>
      </c>
      <c r="C82" s="177">
        <v>46</v>
      </c>
      <c r="D82" s="135">
        <v>310</v>
      </c>
      <c r="E82" s="179">
        <f t="shared" si="9"/>
        <v>77.5</v>
      </c>
      <c r="F82" s="238"/>
      <c r="G82" s="138">
        <v>5</v>
      </c>
      <c r="H82" s="139">
        <f t="shared" si="10"/>
        <v>98.097381818348779</v>
      </c>
      <c r="I82" s="140">
        <v>0.53</v>
      </c>
      <c r="J82" s="337">
        <v>250</v>
      </c>
      <c r="L82" s="3"/>
      <c r="M82" s="115"/>
      <c r="N82" s="128"/>
      <c r="P82" s="195"/>
      <c r="Q82" s="196"/>
      <c r="R82" s="197"/>
      <c r="S82" s="198"/>
      <c r="T82" s="8"/>
      <c r="U82" s="199"/>
      <c r="V82" s="235"/>
    </row>
    <row r="83" spans="1:22">
      <c r="A83" s="315" t="s">
        <v>241</v>
      </c>
      <c r="B83" s="126" t="s">
        <v>242</v>
      </c>
      <c r="C83" s="172">
        <v>18.3</v>
      </c>
      <c r="D83" s="67">
        <v>82</v>
      </c>
      <c r="E83" s="202">
        <f>F83/D83*1000</f>
        <v>203.53170731707314</v>
      </c>
      <c r="F83" s="239">
        <f>3.66*1.52*3</f>
        <v>16.689599999999999</v>
      </c>
      <c r="G83" s="70">
        <v>5</v>
      </c>
      <c r="H83" s="71">
        <f t="shared" si="10"/>
        <v>25.948339706789032</v>
      </c>
      <c r="I83" s="72">
        <v>0.53</v>
      </c>
      <c r="J83" s="331">
        <v>120</v>
      </c>
      <c r="L83" s="3"/>
      <c r="M83" s="115"/>
      <c r="N83" s="128"/>
      <c r="O83" s="240"/>
      <c r="P83" s="195"/>
      <c r="Q83" s="196"/>
      <c r="R83" s="197"/>
      <c r="S83" s="198"/>
      <c r="T83" s="8"/>
      <c r="U83" s="199"/>
      <c r="V83" s="235"/>
    </row>
    <row r="84" spans="1:22">
      <c r="A84" s="316" t="s">
        <v>241</v>
      </c>
      <c r="B84" s="131" t="s">
        <v>243</v>
      </c>
      <c r="C84" s="159">
        <v>28.5</v>
      </c>
      <c r="D84" s="78">
        <v>98.1</v>
      </c>
      <c r="E84" s="178">
        <f t="shared" ref="E84:E93" si="11">F84/D84*1000</f>
        <v>167.43119266055044</v>
      </c>
      <c r="F84" s="241">
        <f>3.65*1.5*3</f>
        <v>16.424999999999997</v>
      </c>
      <c r="G84" s="81">
        <v>5</v>
      </c>
      <c r="H84" s="82">
        <f t="shared" si="10"/>
        <v>31.043074698000048</v>
      </c>
      <c r="I84" s="83">
        <v>0.53</v>
      </c>
      <c r="J84" s="335">
        <v>140</v>
      </c>
      <c r="L84" s="3"/>
      <c r="M84" s="115"/>
      <c r="N84" s="128"/>
      <c r="O84" s="240"/>
      <c r="P84" s="195"/>
      <c r="Q84" s="196"/>
      <c r="R84" s="197"/>
      <c r="S84" s="198"/>
      <c r="T84" s="8"/>
      <c r="U84" s="199"/>
      <c r="V84" s="235"/>
    </row>
    <row r="85" spans="1:22">
      <c r="A85" s="316" t="s">
        <v>241</v>
      </c>
      <c r="B85" s="131" t="s">
        <v>244</v>
      </c>
      <c r="C85" s="159">
        <v>39.299999999999997</v>
      </c>
      <c r="D85" s="78">
        <v>98</v>
      </c>
      <c r="E85" s="178">
        <f t="shared" si="11"/>
        <v>285.70408163265307</v>
      </c>
      <c r="F85" s="241">
        <f>6.1*1.53*3</f>
        <v>27.999000000000002</v>
      </c>
      <c r="G85" s="81">
        <v>5</v>
      </c>
      <c r="H85" s="82">
        <f t="shared" si="10"/>
        <v>31.011430381284455</v>
      </c>
      <c r="I85" s="83">
        <v>0.53</v>
      </c>
      <c r="J85" s="335">
        <v>180</v>
      </c>
      <c r="L85" s="3"/>
      <c r="M85" s="242"/>
      <c r="N85" s="128"/>
      <c r="O85" s="240"/>
      <c r="P85" s="195"/>
      <c r="Q85" s="196"/>
      <c r="R85" s="197"/>
      <c r="S85" s="198"/>
      <c r="T85" s="8"/>
      <c r="U85" s="199"/>
      <c r="V85" s="235"/>
    </row>
    <row r="86" spans="1:22">
      <c r="A86" s="316" t="s">
        <v>241</v>
      </c>
      <c r="B86" s="167" t="s">
        <v>245</v>
      </c>
      <c r="C86" s="168">
        <v>43.1</v>
      </c>
      <c r="D86" s="109">
        <v>82</v>
      </c>
      <c r="E86" s="225">
        <f t="shared" si="11"/>
        <v>267.4390243902439</v>
      </c>
      <c r="F86" s="243">
        <f>4.3*1.7*3</f>
        <v>21.93</v>
      </c>
      <c r="G86" s="112">
        <v>5</v>
      </c>
      <c r="H86" s="113">
        <f t="shared" si="10"/>
        <v>25.948339706789032</v>
      </c>
      <c r="I86" s="114">
        <v>0.53</v>
      </c>
      <c r="J86" s="335">
        <v>250</v>
      </c>
      <c r="L86" s="3"/>
      <c r="M86" s="115"/>
      <c r="N86" s="128"/>
      <c r="O86" s="240"/>
      <c r="P86" s="195"/>
      <c r="Q86" s="196"/>
      <c r="R86" s="197"/>
      <c r="S86" s="198"/>
      <c r="T86" s="8"/>
      <c r="U86" s="199"/>
      <c r="V86" s="235"/>
    </row>
    <row r="87" spans="1:22">
      <c r="A87" s="316" t="s">
        <v>241</v>
      </c>
      <c r="B87" s="131" t="s">
        <v>246</v>
      </c>
      <c r="C87" s="159">
        <v>34.799999999999997</v>
      </c>
      <c r="D87" s="78">
        <v>130</v>
      </c>
      <c r="E87" s="178">
        <f t="shared" si="11"/>
        <v>170.76923076923075</v>
      </c>
      <c r="F87" s="241">
        <v>22.2</v>
      </c>
      <c r="G87" s="81">
        <v>5</v>
      </c>
      <c r="H87" s="82">
        <f t="shared" si="10"/>
        <v>41.137611730275296</v>
      </c>
      <c r="I87" s="83">
        <v>0.53</v>
      </c>
      <c r="J87" s="335">
        <v>220</v>
      </c>
      <c r="L87" s="3"/>
      <c r="M87" s="115"/>
      <c r="N87" s="128"/>
      <c r="O87" s="240"/>
      <c r="P87" s="195"/>
      <c r="Q87" s="196"/>
      <c r="R87" s="197"/>
      <c r="S87" s="198"/>
      <c r="T87" s="8"/>
      <c r="U87" s="199"/>
      <c r="V87" s="235"/>
    </row>
    <row r="88" spans="1:22">
      <c r="A88" s="316" t="s">
        <v>241</v>
      </c>
      <c r="B88" s="360" t="s">
        <v>247</v>
      </c>
      <c r="C88" s="159">
        <v>28</v>
      </c>
      <c r="D88" s="78">
        <f>2*37.5</f>
        <v>75</v>
      </c>
      <c r="E88" s="178">
        <f t="shared" si="11"/>
        <v>296.00000000000006</v>
      </c>
      <c r="F88" s="361">
        <f>7.4*3</f>
        <v>22.200000000000003</v>
      </c>
      <c r="G88" s="81">
        <v>5</v>
      </c>
      <c r="H88" s="82">
        <f t="shared" si="10"/>
        <v>23.733237536697285</v>
      </c>
      <c r="I88" s="83">
        <v>0.53</v>
      </c>
      <c r="J88" s="335">
        <f>J83</f>
        <v>120</v>
      </c>
      <c r="L88" s="3"/>
      <c r="M88" s="115"/>
      <c r="N88" s="128"/>
      <c r="O88" s="240"/>
      <c r="P88" s="195"/>
      <c r="Q88" s="196"/>
      <c r="R88" s="197"/>
      <c r="S88" s="198"/>
      <c r="T88" s="8"/>
      <c r="U88" s="199"/>
      <c r="V88" s="235"/>
    </row>
    <row r="89" spans="1:22">
      <c r="A89" s="316" t="s">
        <v>241</v>
      </c>
      <c r="B89" s="131" t="s">
        <v>248</v>
      </c>
      <c r="C89" s="159">
        <v>15.4</v>
      </c>
      <c r="D89" s="78">
        <v>97</v>
      </c>
      <c r="E89" s="178">
        <f t="shared" si="11"/>
        <v>201.03092783505156</v>
      </c>
      <c r="F89" s="241">
        <f>6.5*3</f>
        <v>19.5</v>
      </c>
      <c r="G89" s="81">
        <v>5</v>
      </c>
      <c r="H89" s="82">
        <f t="shared" si="10"/>
        <v>30.694987214128489</v>
      </c>
      <c r="I89" s="83">
        <v>0.53</v>
      </c>
      <c r="J89" s="335">
        <f t="shared" ref="J89:J91" si="12">J84</f>
        <v>140</v>
      </c>
      <c r="L89" s="3"/>
      <c r="M89" s="115"/>
      <c r="N89" s="214"/>
      <c r="O89" s="240"/>
      <c r="P89" s="195"/>
      <c r="Q89" s="196"/>
      <c r="R89" s="197"/>
      <c r="S89" s="198"/>
      <c r="T89" s="8"/>
      <c r="U89" s="199"/>
      <c r="V89" s="235"/>
    </row>
    <row r="90" spans="1:22">
      <c r="A90" s="316" t="s">
        <v>241</v>
      </c>
      <c r="B90" s="131" t="s">
        <v>249</v>
      </c>
      <c r="C90" s="159">
        <v>32.700000000000003</v>
      </c>
      <c r="D90" s="78">
        <v>98</v>
      </c>
      <c r="E90" s="178">
        <f t="shared" si="11"/>
        <v>151.87755102040813</v>
      </c>
      <c r="F90" s="241">
        <f>4.88*1.525*2</f>
        <v>14.883999999999999</v>
      </c>
      <c r="G90" s="81">
        <v>5</v>
      </c>
      <c r="H90" s="82">
        <f t="shared" si="10"/>
        <v>31.011430381284455</v>
      </c>
      <c r="I90" s="83">
        <v>0.53</v>
      </c>
      <c r="J90" s="335">
        <f t="shared" si="12"/>
        <v>180</v>
      </c>
      <c r="L90" s="3"/>
      <c r="M90" s="115"/>
      <c r="N90" s="214"/>
      <c r="O90" s="240"/>
      <c r="V90" s="235"/>
    </row>
    <row r="91" spans="1:22">
      <c r="A91" s="316" t="s">
        <v>241</v>
      </c>
      <c r="B91" s="131" t="s">
        <v>250</v>
      </c>
      <c r="C91" s="159">
        <v>37.200000000000003</v>
      </c>
      <c r="D91" s="78">
        <v>168</v>
      </c>
      <c r="E91" s="178">
        <f t="shared" si="11"/>
        <v>127.38095238095238</v>
      </c>
      <c r="F91" s="241">
        <v>21.4</v>
      </c>
      <c r="G91" s="81">
        <v>5</v>
      </c>
      <c r="H91" s="82">
        <f t="shared" si="10"/>
        <v>53.162452082201924</v>
      </c>
      <c r="I91" s="83">
        <v>0.53</v>
      </c>
      <c r="J91" s="335">
        <f t="shared" si="12"/>
        <v>250</v>
      </c>
      <c r="L91" s="115"/>
      <c r="M91" s="115"/>
      <c r="N91" s="128"/>
      <c r="O91" s="240"/>
      <c r="V91" s="235"/>
    </row>
    <row r="92" spans="1:22">
      <c r="A92" s="316" t="s">
        <v>241</v>
      </c>
      <c r="B92" s="131" t="s">
        <v>251</v>
      </c>
      <c r="C92" s="159">
        <v>32</v>
      </c>
      <c r="D92" s="78">
        <v>98</v>
      </c>
      <c r="E92" s="178">
        <f t="shared" si="11"/>
        <v>199.20857142857139</v>
      </c>
      <c r="F92" s="241">
        <f>3*(4.27*1.524)</f>
        <v>19.522439999999996</v>
      </c>
      <c r="G92" s="81">
        <v>5</v>
      </c>
      <c r="H92" s="82">
        <f t="shared" si="10"/>
        <v>31.011430381284455</v>
      </c>
      <c r="I92" s="83">
        <v>0.53</v>
      </c>
      <c r="J92" s="335">
        <f>J84</f>
        <v>140</v>
      </c>
      <c r="L92" s="115"/>
      <c r="M92" s="115"/>
      <c r="N92" s="128"/>
      <c r="O92" s="240"/>
      <c r="V92" s="235"/>
    </row>
    <row r="93" spans="1:22" ht="15.6" thickBot="1">
      <c r="A93" s="318" t="s">
        <v>241</v>
      </c>
      <c r="B93" s="133" t="s">
        <v>252</v>
      </c>
      <c r="C93" s="177">
        <v>39.5</v>
      </c>
      <c r="D93" s="135">
        <v>168</v>
      </c>
      <c r="E93" s="179">
        <f t="shared" si="11"/>
        <v>199.33928571428575</v>
      </c>
      <c r="F93" s="362">
        <f>6.1*1.83*3</f>
        <v>33.489000000000004</v>
      </c>
      <c r="G93" s="138">
        <v>5</v>
      </c>
      <c r="H93" s="139">
        <f t="shared" si="10"/>
        <v>53.162452082201924</v>
      </c>
      <c r="I93" s="140">
        <v>0.53</v>
      </c>
      <c r="J93" s="337">
        <v>250</v>
      </c>
      <c r="L93" s="115"/>
      <c r="M93" s="115"/>
      <c r="N93" s="128"/>
      <c r="O93" s="240"/>
      <c r="V93" s="235"/>
    </row>
    <row r="94" spans="1:22" ht="15" customHeight="1">
      <c r="A94" s="365" t="s">
        <v>253</v>
      </c>
      <c r="B94" s="126" t="s">
        <v>254</v>
      </c>
      <c r="C94" s="202">
        <v>160</v>
      </c>
      <c r="D94" s="67">
        <v>1200</v>
      </c>
      <c r="E94" s="202">
        <f>C94*F94</f>
        <v>108.80000000000001</v>
      </c>
      <c r="F94" s="244">
        <v>0.68</v>
      </c>
      <c r="G94" s="70"/>
      <c r="H94" s="71">
        <v>25.948339706789032</v>
      </c>
      <c r="I94" s="367">
        <v>0.53</v>
      </c>
      <c r="J94" s="331">
        <v>100</v>
      </c>
      <c r="L94" s="115"/>
      <c r="M94" s="128"/>
      <c r="N94" s="128"/>
      <c r="O94" s="240"/>
      <c r="V94" s="235"/>
    </row>
    <row r="95" spans="1:22">
      <c r="A95" s="364" t="s">
        <v>253</v>
      </c>
      <c r="B95" s="131" t="s">
        <v>255</v>
      </c>
      <c r="C95" s="178">
        <v>200</v>
      </c>
      <c r="D95" s="78">
        <v>1200</v>
      </c>
      <c r="E95" s="178">
        <v>200</v>
      </c>
      <c r="F95" s="245">
        <v>0.7</v>
      </c>
      <c r="G95" s="81"/>
      <c r="H95" s="82">
        <f>D95*$N$9*I95/1000</f>
        <v>0.25440000000000002</v>
      </c>
      <c r="I95" s="368">
        <v>0.53</v>
      </c>
      <c r="J95" s="335">
        <v>200</v>
      </c>
      <c r="L95" s="115"/>
      <c r="M95" s="128"/>
      <c r="N95" s="128"/>
      <c r="O95" s="240"/>
      <c r="V95" s="235"/>
    </row>
    <row r="96" spans="1:22">
      <c r="A96" s="364" t="s">
        <v>253</v>
      </c>
      <c r="B96" s="131" t="s">
        <v>256</v>
      </c>
      <c r="C96" s="178">
        <v>90</v>
      </c>
      <c r="D96" s="78">
        <v>1200</v>
      </c>
      <c r="E96" s="178">
        <v>90</v>
      </c>
      <c r="F96" s="245">
        <v>0.72</v>
      </c>
      <c r="G96" s="81"/>
      <c r="H96" s="82">
        <f t="shared" ref="H96:H98" si="13">D96*$N$9*I96/1000</f>
        <v>0.25440000000000002</v>
      </c>
      <c r="I96" s="368">
        <v>0.53</v>
      </c>
      <c r="J96" s="335">
        <v>80</v>
      </c>
      <c r="L96" s="115"/>
      <c r="M96" s="128"/>
      <c r="N96" s="128"/>
      <c r="O96" s="240"/>
      <c r="V96" s="235"/>
    </row>
    <row r="97" spans="1:22" ht="15.6" thickBot="1">
      <c r="A97" s="366" t="s">
        <v>253</v>
      </c>
      <c r="B97" s="133" t="s">
        <v>257</v>
      </c>
      <c r="C97" s="179">
        <v>200</v>
      </c>
      <c r="D97" s="135">
        <v>310</v>
      </c>
      <c r="E97" s="179">
        <v>200</v>
      </c>
      <c r="F97" s="246">
        <v>0.72</v>
      </c>
      <c r="G97" s="138"/>
      <c r="H97" s="139">
        <f t="shared" si="13"/>
        <v>6.5720000000000001E-2</v>
      </c>
      <c r="I97" s="369">
        <v>0.53</v>
      </c>
      <c r="J97" s="337">
        <v>90</v>
      </c>
      <c r="V97" s="235"/>
    </row>
    <row r="98" spans="1:22">
      <c r="A98" s="365" t="s">
        <v>258</v>
      </c>
      <c r="B98" s="126" t="s">
        <v>259</v>
      </c>
      <c r="C98" s="202">
        <f>E98*0.8</f>
        <v>80</v>
      </c>
      <c r="D98" s="67">
        <v>150</v>
      </c>
      <c r="E98" s="202">
        <v>100</v>
      </c>
      <c r="F98" s="244">
        <v>6</v>
      </c>
      <c r="G98" s="70"/>
      <c r="H98" s="71">
        <f t="shared" si="13"/>
        <v>3.1800000000000002E-2</v>
      </c>
      <c r="I98" s="367">
        <v>0.53</v>
      </c>
      <c r="J98" s="331">
        <v>150</v>
      </c>
      <c r="V98" s="235"/>
    </row>
    <row r="99" spans="1:22" ht="15.6" thickBot="1">
      <c r="A99" s="366" t="s">
        <v>258</v>
      </c>
      <c r="B99" s="133" t="s">
        <v>260</v>
      </c>
      <c r="C99" s="179"/>
      <c r="D99" s="135"/>
      <c r="E99" s="179"/>
      <c r="F99" s="246">
        <v>6</v>
      </c>
      <c r="G99" s="138"/>
      <c r="H99" s="139">
        <v>10</v>
      </c>
      <c r="I99" s="369"/>
      <c r="J99" s="337">
        <v>170</v>
      </c>
    </row>
    <row r="100" spans="1:22">
      <c r="A100" s="365" t="s">
        <v>17</v>
      </c>
      <c r="B100" s="126" t="s">
        <v>261</v>
      </c>
      <c r="C100" s="202">
        <v>19.7</v>
      </c>
      <c r="D100" s="67">
        <v>160</v>
      </c>
      <c r="E100" s="202">
        <f>D100*0.53*C100</f>
        <v>1670.5600000000002</v>
      </c>
      <c r="F100" s="244"/>
      <c r="G100" s="70">
        <v>5</v>
      </c>
      <c r="H100" s="71">
        <f t="shared" ref="H100:H131" si="14">D100*I100*(0.6957*G100^-0.095)</f>
        <v>50.630906744954217</v>
      </c>
      <c r="I100" s="367">
        <v>0.53</v>
      </c>
      <c r="J100" s="331">
        <v>120</v>
      </c>
    </row>
    <row r="101" spans="1:22" ht="15.6" thickBot="1">
      <c r="A101" s="366" t="s">
        <v>17</v>
      </c>
      <c r="B101" s="133" t="s">
        <v>262</v>
      </c>
      <c r="C101" s="179">
        <v>19</v>
      </c>
      <c r="D101" s="135">
        <v>139</v>
      </c>
      <c r="E101" s="179">
        <f>D101*0.53*C101</f>
        <v>1399.73</v>
      </c>
      <c r="F101" s="246"/>
      <c r="G101" s="138">
        <v>5</v>
      </c>
      <c r="H101" s="139">
        <f t="shared" si="14"/>
        <v>43.985600234678969</v>
      </c>
      <c r="I101" s="369">
        <v>0.53</v>
      </c>
      <c r="J101" s="337">
        <v>150</v>
      </c>
    </row>
    <row r="102" spans="1:22">
      <c r="A102" s="315" t="s">
        <v>263</v>
      </c>
      <c r="B102" s="126" t="s">
        <v>264</v>
      </c>
      <c r="C102" s="172">
        <v>14.3</v>
      </c>
      <c r="D102" s="67">
        <v>90</v>
      </c>
      <c r="E102" s="193">
        <f t="shared" ref="E102:E107" si="15">D102*F102</f>
        <v>450</v>
      </c>
      <c r="F102" s="194">
        <v>5</v>
      </c>
      <c r="G102" s="70">
        <v>5</v>
      </c>
      <c r="H102" s="71">
        <f t="shared" si="14"/>
        <v>28.479885044036742</v>
      </c>
      <c r="I102" s="72">
        <v>0.53</v>
      </c>
      <c r="J102" s="331">
        <v>90</v>
      </c>
    </row>
    <row r="103" spans="1:22">
      <c r="A103" s="316" t="s">
        <v>263</v>
      </c>
      <c r="B103" s="131" t="s">
        <v>265</v>
      </c>
      <c r="C103" s="159">
        <v>18.399999999999999</v>
      </c>
      <c r="D103" s="78">
        <v>129</v>
      </c>
      <c r="E103" s="182">
        <f t="shared" si="15"/>
        <v>645</v>
      </c>
      <c r="F103" s="183">
        <v>5</v>
      </c>
      <c r="G103" s="81">
        <v>5</v>
      </c>
      <c r="H103" s="82">
        <f t="shared" si="14"/>
        <v>40.821168563119329</v>
      </c>
      <c r="I103" s="83">
        <v>0.53</v>
      </c>
      <c r="J103" s="335">
        <v>100</v>
      </c>
    </row>
    <row r="104" spans="1:22">
      <c r="A104" s="316" t="s">
        <v>263</v>
      </c>
      <c r="B104" s="131" t="s">
        <v>266</v>
      </c>
      <c r="C104" s="159">
        <v>20.399999999999999</v>
      </c>
      <c r="D104" s="78">
        <v>168</v>
      </c>
      <c r="E104" s="182">
        <f t="shared" si="15"/>
        <v>1008</v>
      </c>
      <c r="F104" s="183">
        <v>6</v>
      </c>
      <c r="G104" s="81">
        <v>5</v>
      </c>
      <c r="H104" s="82">
        <f t="shared" si="14"/>
        <v>53.162452082201924</v>
      </c>
      <c r="I104" s="83">
        <v>0.53</v>
      </c>
      <c r="J104" s="335">
        <v>120</v>
      </c>
    </row>
    <row r="105" spans="1:22">
      <c r="A105" s="316" t="s">
        <v>263</v>
      </c>
      <c r="B105" s="131" t="s">
        <v>267</v>
      </c>
      <c r="C105" s="159">
        <v>1.44</v>
      </c>
      <c r="D105" s="78">
        <v>10.199999999999999</v>
      </c>
      <c r="E105" s="182">
        <f t="shared" si="15"/>
        <v>18.36</v>
      </c>
      <c r="F105" s="183">
        <v>1.8</v>
      </c>
      <c r="G105" s="81">
        <v>5</v>
      </c>
      <c r="H105" s="82">
        <f t="shared" si="14"/>
        <v>3.2277203049908305</v>
      </c>
      <c r="I105" s="83">
        <v>0.53</v>
      </c>
      <c r="J105" s="335">
        <v>50</v>
      </c>
    </row>
    <row r="106" spans="1:22">
      <c r="A106" s="316" t="s">
        <v>263</v>
      </c>
      <c r="B106" s="131" t="s">
        <v>268</v>
      </c>
      <c r="C106" s="159">
        <v>6.5</v>
      </c>
      <c r="D106" s="78">
        <v>55.4</v>
      </c>
      <c r="E106" s="182">
        <f t="shared" si="15"/>
        <v>138.5</v>
      </c>
      <c r="F106" s="183">
        <v>2.5</v>
      </c>
      <c r="G106" s="81">
        <v>5</v>
      </c>
      <c r="H106" s="82">
        <f t="shared" si="14"/>
        <v>17.530951460440395</v>
      </c>
      <c r="I106" s="83">
        <v>0.53</v>
      </c>
      <c r="J106" s="335">
        <v>80</v>
      </c>
    </row>
    <row r="107" spans="1:22">
      <c r="A107" s="316" t="s">
        <v>263</v>
      </c>
      <c r="B107" s="131" t="s">
        <v>269</v>
      </c>
      <c r="C107" s="159">
        <v>18.7</v>
      </c>
      <c r="D107" s="78">
        <v>129</v>
      </c>
      <c r="E107" s="182">
        <f t="shared" si="15"/>
        <v>645</v>
      </c>
      <c r="F107" s="183">
        <v>5</v>
      </c>
      <c r="G107" s="81">
        <v>5</v>
      </c>
      <c r="H107" s="82">
        <f t="shared" si="14"/>
        <v>40.821168563119329</v>
      </c>
      <c r="I107" s="83">
        <v>0.53</v>
      </c>
      <c r="J107" s="335">
        <v>100</v>
      </c>
    </row>
    <row r="108" spans="1:22">
      <c r="A108" s="316" t="s">
        <v>263</v>
      </c>
      <c r="B108" s="162" t="s">
        <v>270</v>
      </c>
      <c r="C108" s="163">
        <v>23.3</v>
      </c>
      <c r="D108" s="95">
        <v>187</v>
      </c>
      <c r="E108" s="200">
        <f>D108*F108</f>
        <v>1028.5</v>
      </c>
      <c r="F108" s="189">
        <v>5.5</v>
      </c>
      <c r="G108" s="98">
        <v>5</v>
      </c>
      <c r="H108" s="82">
        <f t="shared" si="14"/>
        <v>59.17487225816523</v>
      </c>
      <c r="I108" s="83">
        <v>0.53</v>
      </c>
      <c r="J108" s="335">
        <v>100</v>
      </c>
    </row>
    <row r="109" spans="1:22" ht="15.6" thickBot="1">
      <c r="A109" s="317" t="s">
        <v>263</v>
      </c>
      <c r="B109" s="252" t="s">
        <v>271</v>
      </c>
      <c r="C109" s="253">
        <v>30.9</v>
      </c>
      <c r="D109" s="254">
        <v>354</v>
      </c>
      <c r="E109" s="255">
        <f>D109*F109</f>
        <v>2124</v>
      </c>
      <c r="F109" s="256">
        <v>6</v>
      </c>
      <c r="G109" s="190">
        <v>5</v>
      </c>
      <c r="H109" s="124">
        <f t="shared" si="14"/>
        <v>112.02088117321118</v>
      </c>
      <c r="I109" s="125">
        <v>0.53</v>
      </c>
      <c r="J109" s="336">
        <v>120</v>
      </c>
    </row>
    <row r="110" spans="1:22" ht="15.6">
      <c r="A110" s="370" t="s">
        <v>272</v>
      </c>
      <c r="B110" s="126" t="s">
        <v>273</v>
      </c>
      <c r="C110" s="172">
        <v>19.7</v>
      </c>
      <c r="D110" s="67">
        <v>75</v>
      </c>
      <c r="E110" s="193">
        <f>D110*4.5</f>
        <v>337.5</v>
      </c>
      <c r="F110" s="67">
        <v>2260</v>
      </c>
      <c r="G110" s="70">
        <v>5</v>
      </c>
      <c r="H110" s="71">
        <f t="shared" si="14"/>
        <v>23.733237536697285</v>
      </c>
      <c r="I110" s="72">
        <v>0.53</v>
      </c>
      <c r="J110" s="331">
        <v>200</v>
      </c>
      <c r="K110" s="330"/>
      <c r="L110" s="257" t="s">
        <v>274</v>
      </c>
      <c r="M110" s="258"/>
      <c r="N110" s="258"/>
      <c r="O110" s="259"/>
      <c r="P110" s="260"/>
      <c r="Q110" s="260"/>
      <c r="R110" s="261"/>
    </row>
    <row r="111" spans="1:22">
      <c r="A111" s="371" t="s">
        <v>272</v>
      </c>
      <c r="B111" s="131" t="s">
        <v>275</v>
      </c>
      <c r="C111" s="159">
        <v>10</v>
      </c>
      <c r="D111" s="78">
        <v>50</v>
      </c>
      <c r="E111" s="182">
        <f>D111*4.5</f>
        <v>225</v>
      </c>
      <c r="F111" s="78">
        <f>2261/4</f>
        <v>565.25</v>
      </c>
      <c r="G111" s="81">
        <v>5</v>
      </c>
      <c r="H111" s="82">
        <f t="shared" si="14"/>
        <v>15.822158357798189</v>
      </c>
      <c r="I111" s="83">
        <v>0.53</v>
      </c>
      <c r="J111" s="335">
        <v>120</v>
      </c>
      <c r="L111" s="262"/>
      <c r="M111" s="128"/>
      <c r="N111" s="128"/>
      <c r="O111" s="263" t="s">
        <v>276</v>
      </c>
      <c r="P111" s="264">
        <v>50</v>
      </c>
      <c r="R111" s="265"/>
    </row>
    <row r="112" spans="1:22">
      <c r="A112" s="372" t="s">
        <v>279</v>
      </c>
      <c r="B112" s="170" t="s">
        <v>277</v>
      </c>
      <c r="C112" s="171">
        <v>10</v>
      </c>
      <c r="D112" s="120">
        <v>90</v>
      </c>
      <c r="E112" s="182">
        <f>D112*4.5</f>
        <v>405</v>
      </c>
      <c r="F112" s="120">
        <f>F113/4</f>
        <v>361.25</v>
      </c>
      <c r="G112" s="81">
        <v>5</v>
      </c>
      <c r="H112" s="82">
        <f t="shared" si="14"/>
        <v>28.479885044036742</v>
      </c>
      <c r="I112" s="83">
        <v>0.53</v>
      </c>
      <c r="J112" s="335">
        <v>450</v>
      </c>
      <c r="L112" s="262"/>
      <c r="M112" s="128"/>
      <c r="N112" s="128"/>
      <c r="O112" s="263" t="s">
        <v>278</v>
      </c>
      <c r="P112" s="264">
        <v>180</v>
      </c>
      <c r="R112" s="265"/>
    </row>
    <row r="113" spans="1:18" ht="16.2" thickBot="1">
      <c r="A113" s="373" t="s">
        <v>279</v>
      </c>
      <c r="B113" s="133" t="s">
        <v>280</v>
      </c>
      <c r="C113" s="177">
        <v>47.9</v>
      </c>
      <c r="D113" s="135">
        <v>240</v>
      </c>
      <c r="E113" s="184">
        <f>D113*4.5</f>
        <v>1080</v>
      </c>
      <c r="F113" s="135">
        <v>1445</v>
      </c>
      <c r="G113" s="138">
        <v>5</v>
      </c>
      <c r="H113" s="139">
        <f t="shared" si="14"/>
        <v>75.946360117431311</v>
      </c>
      <c r="I113" s="140">
        <v>0.53</v>
      </c>
      <c r="J113" s="337">
        <v>500</v>
      </c>
      <c r="L113" s="262"/>
      <c r="M113" s="128"/>
      <c r="N113" s="128"/>
      <c r="O113" s="266" t="s">
        <v>281</v>
      </c>
      <c r="P113" s="267">
        <f>P112-P111</f>
        <v>130</v>
      </c>
      <c r="R113" s="265"/>
    </row>
    <row r="114" spans="1:18">
      <c r="A114" s="319" t="s">
        <v>282</v>
      </c>
      <c r="B114" s="150" t="s">
        <v>283</v>
      </c>
      <c r="C114" s="151">
        <v>29.8</v>
      </c>
      <c r="D114" s="152">
        <v>129.4</v>
      </c>
      <c r="E114" s="203">
        <v>220</v>
      </c>
      <c r="F114" s="181"/>
      <c r="G114" s="154">
        <v>5</v>
      </c>
      <c r="H114" s="155">
        <f t="shared" si="14"/>
        <v>40.94774582998172</v>
      </c>
      <c r="I114" s="156">
        <v>0.53</v>
      </c>
      <c r="J114" s="338">
        <v>320</v>
      </c>
      <c r="L114" s="262"/>
      <c r="M114" s="128"/>
      <c r="N114" s="128"/>
      <c r="O114" s="263" t="s">
        <v>284</v>
      </c>
      <c r="P114" s="268">
        <v>0.05</v>
      </c>
      <c r="R114" s="265"/>
    </row>
    <row r="115" spans="1:18" ht="15.6" thickBot="1">
      <c r="A115" s="318" t="s">
        <v>282</v>
      </c>
      <c r="B115" s="133" t="s">
        <v>285</v>
      </c>
      <c r="C115" s="177">
        <v>29.95</v>
      </c>
      <c r="D115" s="135">
        <v>129</v>
      </c>
      <c r="E115" s="179">
        <v>220</v>
      </c>
      <c r="F115" s="185"/>
      <c r="G115" s="138">
        <v>5</v>
      </c>
      <c r="H115" s="139">
        <f t="shared" si="14"/>
        <v>40.821168563119329</v>
      </c>
      <c r="I115" s="140">
        <v>0.53</v>
      </c>
      <c r="J115" s="337">
        <v>390</v>
      </c>
      <c r="L115" s="262"/>
      <c r="M115" s="128"/>
      <c r="N115" s="128"/>
      <c r="O115" s="263" t="s">
        <v>286</v>
      </c>
      <c r="P115" s="269">
        <v>2.5</v>
      </c>
      <c r="R115" s="265"/>
    </row>
    <row r="116" spans="1:18">
      <c r="A116" s="319" t="s">
        <v>287</v>
      </c>
      <c r="B116" s="150" t="s">
        <v>288</v>
      </c>
      <c r="C116" s="151">
        <v>1.6</v>
      </c>
      <c r="D116" s="152">
        <v>16.100000000000001</v>
      </c>
      <c r="E116" s="180">
        <f>D116*0.53*C116*F116*8</f>
        <v>87.377920000000017</v>
      </c>
      <c r="F116" s="181">
        <v>0.8</v>
      </c>
      <c r="G116" s="154">
        <v>5</v>
      </c>
      <c r="H116" s="155">
        <f t="shared" si="14"/>
        <v>5.094734991211018</v>
      </c>
      <c r="I116" s="156">
        <v>0.53</v>
      </c>
      <c r="J116" s="338">
        <v>50</v>
      </c>
      <c r="L116" s="262"/>
      <c r="M116" s="128"/>
      <c r="N116" s="128"/>
      <c r="O116" s="266" t="s">
        <v>289</v>
      </c>
      <c r="P116" s="270">
        <v>0.96</v>
      </c>
      <c r="R116" s="265"/>
    </row>
    <row r="117" spans="1:18">
      <c r="A117" s="316" t="s">
        <v>287</v>
      </c>
      <c r="B117" s="131" t="s">
        <v>290</v>
      </c>
      <c r="C117" s="159">
        <v>4.5999999999999996</v>
      </c>
      <c r="D117" s="78">
        <v>37.4</v>
      </c>
      <c r="E117" s="182">
        <f t="shared" ref="E117:E122" si="16">D117*0.53*C117*F117</f>
        <v>118.53555999999999</v>
      </c>
      <c r="F117" s="183">
        <v>1.3</v>
      </c>
      <c r="G117" s="81">
        <v>5</v>
      </c>
      <c r="H117" s="82">
        <f t="shared" si="14"/>
        <v>11.834974451633045</v>
      </c>
      <c r="I117" s="83">
        <v>0.53</v>
      </c>
      <c r="J117" s="335">
        <v>70</v>
      </c>
      <c r="L117" s="262"/>
      <c r="M117" s="128"/>
      <c r="N117" s="128"/>
      <c r="O117" s="266" t="s">
        <v>291</v>
      </c>
      <c r="P117" s="271">
        <v>1</v>
      </c>
      <c r="R117" s="265"/>
    </row>
    <row r="118" spans="1:18">
      <c r="A118" s="316" t="s">
        <v>287</v>
      </c>
      <c r="B118" s="162" t="s">
        <v>292</v>
      </c>
      <c r="C118" s="163">
        <v>7.4</v>
      </c>
      <c r="D118" s="95">
        <v>55.4</v>
      </c>
      <c r="E118" s="200">
        <f t="shared" si="16"/>
        <v>325.91820000000001</v>
      </c>
      <c r="F118" s="189">
        <v>1.5</v>
      </c>
      <c r="G118" s="98">
        <v>5</v>
      </c>
      <c r="H118" s="82">
        <f t="shared" si="14"/>
        <v>17.530951460440395</v>
      </c>
      <c r="I118" s="83">
        <v>0.53</v>
      </c>
      <c r="J118" s="335">
        <v>80</v>
      </c>
      <c r="L118" s="262"/>
      <c r="M118" s="187"/>
      <c r="N118" s="128"/>
      <c r="O118" s="266" t="s">
        <v>293</v>
      </c>
      <c r="P118" s="272">
        <v>1</v>
      </c>
      <c r="R118" s="265"/>
    </row>
    <row r="119" spans="1:18">
      <c r="A119" s="316" t="s">
        <v>287</v>
      </c>
      <c r="B119" s="162" t="s">
        <v>294</v>
      </c>
      <c r="C119" s="163">
        <v>7.8</v>
      </c>
      <c r="D119" s="95">
        <v>55.4</v>
      </c>
      <c r="E119" s="200">
        <f t="shared" si="16"/>
        <v>389.34012000000001</v>
      </c>
      <c r="F119" s="189">
        <v>1.7</v>
      </c>
      <c r="G119" s="98">
        <v>5</v>
      </c>
      <c r="H119" s="82">
        <f t="shared" si="14"/>
        <v>17.530951460440395</v>
      </c>
      <c r="I119" s="83">
        <v>0.53</v>
      </c>
      <c r="J119" s="335">
        <v>90</v>
      </c>
      <c r="L119" s="262"/>
      <c r="O119" s="266" t="s">
        <v>295</v>
      </c>
      <c r="P119" s="273">
        <f>(P117*P118)*P114*P115</f>
        <v>0.125</v>
      </c>
      <c r="R119" s="265"/>
    </row>
    <row r="120" spans="1:18">
      <c r="A120" s="316" t="s">
        <v>287</v>
      </c>
      <c r="B120" s="162" t="s">
        <v>296</v>
      </c>
      <c r="C120" s="163">
        <v>9.5</v>
      </c>
      <c r="D120" s="95">
        <v>85</v>
      </c>
      <c r="E120" s="200">
        <f t="shared" si="16"/>
        <v>727.5575</v>
      </c>
      <c r="F120" s="189">
        <v>1.7</v>
      </c>
      <c r="G120" s="98">
        <v>5</v>
      </c>
      <c r="H120" s="82">
        <f t="shared" si="14"/>
        <v>26.897669208256925</v>
      </c>
      <c r="I120" s="83">
        <v>0.53</v>
      </c>
      <c r="J120" s="335">
        <v>100</v>
      </c>
      <c r="L120" s="274" t="s">
        <v>178</v>
      </c>
      <c r="M120" s="130">
        <v>0.54</v>
      </c>
      <c r="N120" s="142">
        <v>46</v>
      </c>
      <c r="O120" s="266" t="s">
        <v>297</v>
      </c>
      <c r="P120" s="176">
        <f>P113*P119*P116</f>
        <v>15.6</v>
      </c>
      <c r="R120" s="265"/>
    </row>
    <row r="121" spans="1:18" ht="18.600000000000001">
      <c r="A121" s="316" t="s">
        <v>287</v>
      </c>
      <c r="B121" s="131" t="s">
        <v>298</v>
      </c>
      <c r="C121" s="159">
        <v>12.6</v>
      </c>
      <c r="D121" s="78">
        <v>115</v>
      </c>
      <c r="E121" s="182">
        <f t="shared" si="16"/>
        <v>1535.94</v>
      </c>
      <c r="F121" s="183">
        <v>2</v>
      </c>
      <c r="G121" s="81">
        <v>5</v>
      </c>
      <c r="H121" s="82">
        <f t="shared" si="14"/>
        <v>36.390964222935835</v>
      </c>
      <c r="I121" s="83">
        <v>0.53</v>
      </c>
      <c r="J121" s="335">
        <v>120</v>
      </c>
      <c r="L121" s="262"/>
      <c r="M121" s="275">
        <v>1</v>
      </c>
      <c r="N121" s="276">
        <v>3.6</v>
      </c>
      <c r="O121" s="266" t="s">
        <v>299</v>
      </c>
      <c r="P121" s="277">
        <f>P120/N122</f>
        <v>19.5</v>
      </c>
      <c r="R121" s="265"/>
    </row>
    <row r="122" spans="1:18" ht="15.6" thickBot="1">
      <c r="A122" s="317" t="s">
        <v>287</v>
      </c>
      <c r="B122" s="170" t="s">
        <v>300</v>
      </c>
      <c r="C122" s="171">
        <v>13.1</v>
      </c>
      <c r="D122" s="120">
        <v>115</v>
      </c>
      <c r="E122" s="201">
        <f t="shared" si="16"/>
        <v>1676.7345000000003</v>
      </c>
      <c r="F122" s="191">
        <v>2.1</v>
      </c>
      <c r="G122" s="123">
        <v>5</v>
      </c>
      <c r="H122" s="124">
        <f t="shared" si="14"/>
        <v>36.390964222935835</v>
      </c>
      <c r="I122" s="125">
        <v>0.53</v>
      </c>
      <c r="J122" s="336">
        <v>130</v>
      </c>
      <c r="L122" s="262"/>
      <c r="M122" s="128"/>
      <c r="N122" s="128">
        <v>0.8</v>
      </c>
      <c r="O122" s="266" t="s">
        <v>301</v>
      </c>
      <c r="P122" s="278">
        <f>P121/N120</f>
        <v>0.42391304347826086</v>
      </c>
      <c r="Q122" s="279">
        <v>4</v>
      </c>
      <c r="R122" s="280">
        <f>Q122*60</f>
        <v>240</v>
      </c>
    </row>
    <row r="123" spans="1:18">
      <c r="A123" s="315" t="s">
        <v>302</v>
      </c>
      <c r="B123" s="126" t="s">
        <v>303</v>
      </c>
      <c r="C123" s="172">
        <v>8.5</v>
      </c>
      <c r="D123" s="67">
        <v>55.4</v>
      </c>
      <c r="E123" s="193">
        <f>D123*0.53*C123*F123</f>
        <v>449.23860000000008</v>
      </c>
      <c r="F123" s="194">
        <v>1.8</v>
      </c>
      <c r="G123" s="70">
        <v>5</v>
      </c>
      <c r="H123" s="71">
        <f t="shared" si="14"/>
        <v>17.530951460440395</v>
      </c>
      <c r="I123" s="72">
        <v>0.53</v>
      </c>
      <c r="J123" s="331">
        <v>90</v>
      </c>
      <c r="L123" s="281"/>
      <c r="M123" s="128" t="s">
        <v>304</v>
      </c>
      <c r="N123" s="282">
        <f>((F110*$N$121)/$N$120)/($Q$122*60)</f>
        <v>0.73695652173913051</v>
      </c>
      <c r="O123" s="283">
        <f>N123/R123</f>
        <v>0.163768115942029</v>
      </c>
      <c r="P123" s="284"/>
      <c r="R123" s="285">
        <v>4.5</v>
      </c>
    </row>
    <row r="124" spans="1:18" ht="15.6" thickBot="1">
      <c r="A124" s="318" t="s">
        <v>302</v>
      </c>
      <c r="B124" s="133" t="s">
        <v>305</v>
      </c>
      <c r="C124" s="177">
        <v>9.5</v>
      </c>
      <c r="D124" s="135">
        <v>85</v>
      </c>
      <c r="E124" s="184">
        <f>D124*0.53*C124*F124</f>
        <v>770.35500000000002</v>
      </c>
      <c r="F124" s="185">
        <v>1.8</v>
      </c>
      <c r="G124" s="138">
        <v>5</v>
      </c>
      <c r="H124" s="139">
        <f t="shared" si="14"/>
        <v>26.897669208256925</v>
      </c>
      <c r="I124" s="140">
        <v>0.53</v>
      </c>
      <c r="J124" s="337">
        <v>150</v>
      </c>
      <c r="L124" s="281"/>
      <c r="M124" s="128" t="s">
        <v>304</v>
      </c>
      <c r="N124" s="282">
        <f>((F111*$N$121)/$N$120)/($Q$122*60)</f>
        <v>0.18432065217391305</v>
      </c>
      <c r="O124" s="283">
        <f>N124/R124</f>
        <v>4.0960144927536232E-2</v>
      </c>
      <c r="P124" s="284"/>
      <c r="R124" s="285">
        <v>4.5</v>
      </c>
    </row>
    <row r="125" spans="1:18">
      <c r="A125" s="321" t="s">
        <v>16</v>
      </c>
      <c r="B125" s="286" t="s">
        <v>306</v>
      </c>
      <c r="C125" s="287">
        <v>13</v>
      </c>
      <c r="D125" s="288">
        <v>180</v>
      </c>
      <c r="E125" s="200">
        <f>D125/0.5*F125</f>
        <v>1620</v>
      </c>
      <c r="F125" s="289">
        <v>4.5</v>
      </c>
      <c r="G125" s="290">
        <v>5</v>
      </c>
      <c r="H125" s="155">
        <f t="shared" si="14"/>
        <v>56.959770088073483</v>
      </c>
      <c r="I125" s="156">
        <v>0.53</v>
      </c>
      <c r="J125" s="338">
        <v>70</v>
      </c>
      <c r="L125" s="281"/>
      <c r="M125" s="128"/>
      <c r="N125" s="282"/>
      <c r="O125" s="283"/>
      <c r="P125" s="284"/>
      <c r="R125" s="285"/>
    </row>
    <row r="126" spans="1:18" ht="15.6" thickBot="1">
      <c r="A126" s="321" t="s">
        <v>16</v>
      </c>
      <c r="B126" s="252" t="s">
        <v>307</v>
      </c>
      <c r="C126" s="253">
        <v>1.9</v>
      </c>
      <c r="D126" s="254">
        <v>22</v>
      </c>
      <c r="E126" s="200">
        <f>D126/0.5*F126</f>
        <v>110</v>
      </c>
      <c r="F126" s="256">
        <v>2.5</v>
      </c>
      <c r="G126" s="291">
        <v>5</v>
      </c>
      <c r="H126" s="292">
        <f t="shared" si="14"/>
        <v>6.9617496774312038</v>
      </c>
      <c r="I126" s="229">
        <v>0.53</v>
      </c>
      <c r="J126" s="339">
        <v>20</v>
      </c>
      <c r="L126" s="281"/>
      <c r="M126" s="128" t="s">
        <v>304</v>
      </c>
      <c r="N126" s="282">
        <f>((F113*$N$121)/$N$120)/($Q$122*60)</f>
        <v>0.47119565217391302</v>
      </c>
      <c r="O126" s="283">
        <f>N126/R126</f>
        <v>0.10471014492753622</v>
      </c>
      <c r="P126" s="284"/>
      <c r="R126" s="285">
        <v>4.5</v>
      </c>
    </row>
    <row r="127" spans="1:18" ht="15.6" thickBot="1">
      <c r="A127" s="320" t="s">
        <v>308</v>
      </c>
      <c r="B127" s="126" t="s">
        <v>192</v>
      </c>
      <c r="C127" s="172">
        <v>4.5999999999999996</v>
      </c>
      <c r="D127" s="67">
        <v>81</v>
      </c>
      <c r="E127" s="68"/>
      <c r="F127" s="69"/>
      <c r="G127" s="70">
        <v>5</v>
      </c>
      <c r="H127" s="71">
        <f t="shared" si="14"/>
        <v>25.631896539633068</v>
      </c>
      <c r="I127" s="72">
        <v>0.53</v>
      </c>
      <c r="J127" s="374">
        <f>J142</f>
        <v>32</v>
      </c>
      <c r="L127" s="293"/>
      <c r="M127" s="294"/>
      <c r="N127" s="294"/>
      <c r="O127" s="295">
        <f>SUM(O123:O126)</f>
        <v>0.30943840579710147</v>
      </c>
      <c r="P127" s="296">
        <f>O127-P122</f>
        <v>-0.1144746376811594</v>
      </c>
      <c r="Q127" s="297">
        <f>(((160-40)*((1*1)*0.05*2.5)*0.96)/0.8)/$N$120</f>
        <v>0.39130434782608686</v>
      </c>
      <c r="R127" s="298"/>
    </row>
    <row r="128" spans="1:18">
      <c r="A128" s="321" t="s">
        <v>308</v>
      </c>
      <c r="B128" s="131" t="s">
        <v>193</v>
      </c>
      <c r="C128" s="159">
        <v>11.1</v>
      </c>
      <c r="D128" s="78">
        <f>235/1.343</f>
        <v>174.98138495904692</v>
      </c>
      <c r="E128" s="79"/>
      <c r="F128" s="80"/>
      <c r="G128" s="81">
        <v>5</v>
      </c>
      <c r="H128" s="82">
        <f t="shared" si="14"/>
        <v>55.371663649777737</v>
      </c>
      <c r="I128" s="83">
        <v>0.53</v>
      </c>
      <c r="J128" s="335">
        <f>J144</f>
        <v>40</v>
      </c>
      <c r="L128" s="128"/>
      <c r="M128" s="128"/>
      <c r="N128" s="299"/>
    </row>
    <row r="129" spans="1:17">
      <c r="A129" s="321" t="s">
        <v>308</v>
      </c>
      <c r="B129" s="131" t="s">
        <v>194</v>
      </c>
      <c r="C129" s="159">
        <v>11.1</v>
      </c>
      <c r="D129" s="78">
        <f>348/1.343</f>
        <v>259.12137006701414</v>
      </c>
      <c r="E129" s="79"/>
      <c r="F129" s="80"/>
      <c r="G129" s="81">
        <v>5</v>
      </c>
      <c r="H129" s="82">
        <f t="shared" si="14"/>
        <v>81.99718702179851</v>
      </c>
      <c r="I129" s="83">
        <v>0.53</v>
      </c>
      <c r="J129" s="335">
        <f>J146</f>
        <v>45</v>
      </c>
      <c r="L129" s="128"/>
      <c r="M129" s="128"/>
      <c r="N129" s="128"/>
    </row>
    <row r="130" spans="1:17">
      <c r="A130" s="321" t="s">
        <v>308</v>
      </c>
      <c r="B130" s="131" t="s">
        <v>195</v>
      </c>
      <c r="C130" s="159">
        <v>5.2</v>
      </c>
      <c r="D130" s="78">
        <f>130/1.343</f>
        <v>96.798212956068511</v>
      </c>
      <c r="E130" s="79"/>
      <c r="F130" s="80"/>
      <c r="G130" s="81">
        <v>5</v>
      </c>
      <c r="H130" s="82">
        <f t="shared" si="14"/>
        <v>30.631133082855769</v>
      </c>
      <c r="I130" s="83">
        <v>0.53</v>
      </c>
      <c r="J130" s="335">
        <f>J143</f>
        <v>35</v>
      </c>
      <c r="L130" s="128"/>
      <c r="M130" s="128"/>
      <c r="N130" s="128"/>
    </row>
    <row r="131" spans="1:17" ht="15.6" thickBot="1">
      <c r="A131" s="322" t="s">
        <v>308</v>
      </c>
      <c r="B131" s="133" t="s">
        <v>196</v>
      </c>
      <c r="C131" s="177">
        <v>10.8</v>
      </c>
      <c r="D131" s="135">
        <f>300/1.343</f>
        <v>223.38049143708116</v>
      </c>
      <c r="E131" s="136"/>
      <c r="F131" s="148"/>
      <c r="G131" s="138">
        <v>5</v>
      </c>
      <c r="H131" s="139">
        <f t="shared" si="14"/>
        <v>70.687230191205614</v>
      </c>
      <c r="I131" s="140">
        <v>0.53</v>
      </c>
      <c r="J131" s="337">
        <f>J145</f>
        <v>35</v>
      </c>
      <c r="L131" s="128"/>
      <c r="M131" s="128"/>
      <c r="N131" s="128"/>
    </row>
    <row r="132" spans="1:17" s="4" customFormat="1" ht="15.6" thickBot="1">
      <c r="A132" s="43"/>
      <c r="B132" s="300"/>
      <c r="C132" s="43"/>
      <c r="D132" s="43"/>
      <c r="E132" s="43"/>
      <c r="F132" s="43"/>
      <c r="J132" s="332"/>
      <c r="L132" s="128"/>
      <c r="M132" s="128"/>
      <c r="N132" s="128"/>
    </row>
    <row r="133" spans="1:17" s="4" customFormat="1" ht="15.6" thickBot="1">
      <c r="A133" s="43"/>
      <c r="B133" s="300" t="s">
        <v>20</v>
      </c>
      <c r="C133" s="43" t="s">
        <v>18</v>
      </c>
      <c r="D133" s="43" t="s">
        <v>14</v>
      </c>
      <c r="E133" s="43" t="s">
        <v>7</v>
      </c>
      <c r="F133" s="43" t="s">
        <v>19</v>
      </c>
      <c r="G133" s="4" t="s">
        <v>21</v>
      </c>
      <c r="I133" s="385" t="s">
        <v>328</v>
      </c>
      <c r="J133" s="386" t="s">
        <v>329</v>
      </c>
      <c r="L133" s="128"/>
      <c r="M133" s="128"/>
      <c r="N133" s="128"/>
    </row>
    <row r="134" spans="1:17" s="4" customFormat="1">
      <c r="A134" s="375" t="s">
        <v>8</v>
      </c>
      <c r="B134" s="172">
        <f t="shared" ref="B134:B135" si="17">C134-E134-F134</f>
        <v>13</v>
      </c>
      <c r="C134" s="172">
        <v>28</v>
      </c>
      <c r="D134" s="67">
        <v>420</v>
      </c>
      <c r="E134" s="172">
        <v>15</v>
      </c>
      <c r="F134" s="172"/>
      <c r="G134" s="380">
        <v>6</v>
      </c>
      <c r="H134" s="389"/>
      <c r="I134" s="382" t="str">
        <f>IFERROR(_xlfn.XLOOKUP(K134,$M$135:$M$148,$N$135:$N$148),"")</f>
        <v/>
      </c>
      <c r="J134" s="379">
        <f>IFERROR(_xlfn.XLOOKUP(D134,$P$135:$P$145,$Q$135:$Q$145,,1),"")</f>
        <v>53</v>
      </c>
      <c r="L134" s="128"/>
      <c r="M134" s="684" t="s">
        <v>11</v>
      </c>
      <c r="N134" s="683"/>
      <c r="P134" s="4" t="s">
        <v>327</v>
      </c>
    </row>
    <row r="135" spans="1:17" s="4" customFormat="1">
      <c r="A135" s="325" t="s">
        <v>326</v>
      </c>
      <c r="B135" s="159">
        <f t="shared" si="17"/>
        <v>15</v>
      </c>
      <c r="C135" s="159">
        <v>30</v>
      </c>
      <c r="D135" s="78">
        <v>420</v>
      </c>
      <c r="E135" s="159">
        <v>15</v>
      </c>
      <c r="F135" s="159"/>
      <c r="G135" s="378">
        <v>6</v>
      </c>
      <c r="H135" s="390"/>
      <c r="I135" s="383" t="str">
        <f>IFERROR(_xlfn.XLOOKUP(K135,$M$135:$M$148,$N$135:$N$148),"")</f>
        <v/>
      </c>
      <c r="J135" s="387">
        <f>IFERROR(_xlfn.XLOOKUP(D135,$P$135:$P$145,$Q$135:$Q$145,,1),"")</f>
        <v>53</v>
      </c>
      <c r="L135" s="128"/>
      <c r="M135" s="2">
        <v>10</v>
      </c>
      <c r="N135" s="1">
        <v>9.5000000000000001E-2</v>
      </c>
      <c r="P135" s="6">
        <v>100</v>
      </c>
      <c r="Q135" s="377">
        <v>25</v>
      </c>
    </row>
    <row r="136" spans="1:17" s="4" customFormat="1">
      <c r="A136" s="325" t="s">
        <v>325</v>
      </c>
      <c r="B136" s="159">
        <f>C136-E136-F136</f>
        <v>28</v>
      </c>
      <c r="C136" s="159">
        <v>44</v>
      </c>
      <c r="D136" s="78">
        <v>330</v>
      </c>
      <c r="E136" s="159">
        <v>9</v>
      </c>
      <c r="F136" s="159">
        <v>7</v>
      </c>
      <c r="G136" s="378">
        <v>6</v>
      </c>
      <c r="H136" s="390"/>
      <c r="I136" s="383" t="str">
        <f>IFERROR(_xlfn.XLOOKUP(K136,$M$135:$M$148,$N$135:$N$148),"")</f>
        <v/>
      </c>
      <c r="J136" s="387">
        <f>IFERROR(_xlfn.XLOOKUP(D136,$P$135:$P$145,$Q$135:$Q$145,,1),"")</f>
        <v>50</v>
      </c>
      <c r="L136" s="128"/>
      <c r="M136" s="2">
        <v>15</v>
      </c>
      <c r="N136" s="1">
        <v>0.09</v>
      </c>
      <c r="P136" s="6">
        <v>150</v>
      </c>
      <c r="Q136" s="377">
        <v>30</v>
      </c>
    </row>
    <row r="137" spans="1:17" s="4" customFormat="1">
      <c r="A137" s="325" t="s">
        <v>346</v>
      </c>
      <c r="B137" s="159">
        <f>C137-E137-F137</f>
        <v>17</v>
      </c>
      <c r="C137" s="159">
        <v>32</v>
      </c>
      <c r="D137" s="78">
        <v>350</v>
      </c>
      <c r="E137" s="159">
        <v>15</v>
      </c>
      <c r="F137" s="159"/>
      <c r="G137" s="378">
        <v>6</v>
      </c>
      <c r="H137" s="390"/>
      <c r="I137" s="383" t="str">
        <f>IFERROR(_xlfn.XLOOKUP(K137,$M$135:$M$148,$N$135:$N$148),"")</f>
        <v/>
      </c>
      <c r="J137" s="387">
        <f>IFERROR(_xlfn.XLOOKUP(D137,$P$135:$P$145,$Q$135:$Q$145,,1),"")</f>
        <v>50</v>
      </c>
      <c r="L137" s="128"/>
      <c r="M137" s="2">
        <v>20</v>
      </c>
      <c r="N137" s="1">
        <v>8.5000000000000006E-2</v>
      </c>
      <c r="P137" s="6">
        <v>200</v>
      </c>
      <c r="Q137" s="377">
        <v>35</v>
      </c>
    </row>
    <row r="138" spans="1:17" s="4" customFormat="1">
      <c r="A138" s="325" t="s">
        <v>347</v>
      </c>
      <c r="B138" s="159">
        <f>C138-E138-F138</f>
        <v>13</v>
      </c>
      <c r="C138" s="159">
        <v>26</v>
      </c>
      <c r="D138" s="78">
        <v>280</v>
      </c>
      <c r="E138" s="159">
        <v>13</v>
      </c>
      <c r="F138" s="159"/>
      <c r="G138" s="378">
        <v>6</v>
      </c>
      <c r="H138" s="390"/>
      <c r="I138" s="383"/>
      <c r="J138" s="387">
        <v>40</v>
      </c>
      <c r="L138" s="128"/>
      <c r="M138" s="2">
        <v>25</v>
      </c>
      <c r="N138" s="1">
        <v>0.08</v>
      </c>
      <c r="P138" s="6">
        <v>250</v>
      </c>
      <c r="Q138" s="377">
        <v>40</v>
      </c>
    </row>
    <row r="139" spans="1:17" s="4" customFormat="1">
      <c r="A139" s="420" t="s">
        <v>340</v>
      </c>
      <c r="B139" s="159">
        <f>C139-E139-F139</f>
        <v>27</v>
      </c>
      <c r="C139" s="159">
        <v>44</v>
      </c>
      <c r="D139" s="78">
        <v>330</v>
      </c>
      <c r="E139" s="159">
        <v>9</v>
      </c>
      <c r="F139" s="159">
        <v>8</v>
      </c>
      <c r="G139" s="378">
        <v>6</v>
      </c>
      <c r="H139" s="390"/>
      <c r="I139" s="383"/>
      <c r="J139" s="387">
        <v>70</v>
      </c>
      <c r="L139" s="128"/>
      <c r="M139" s="2">
        <v>30</v>
      </c>
      <c r="N139" s="1">
        <v>7.4999999999999997E-2</v>
      </c>
      <c r="P139" s="6">
        <v>300</v>
      </c>
      <c r="Q139" s="377">
        <v>45</v>
      </c>
    </row>
    <row r="140" spans="1:17" s="4" customFormat="1" ht="15.6" thickBot="1">
      <c r="A140" s="326" t="s">
        <v>324</v>
      </c>
      <c r="B140" s="177">
        <f>C140-E140-F140</f>
        <v>44</v>
      </c>
      <c r="C140" s="177">
        <v>70</v>
      </c>
      <c r="D140" s="135">
        <v>650</v>
      </c>
      <c r="E140" s="177">
        <v>11</v>
      </c>
      <c r="F140" s="177">
        <v>15</v>
      </c>
      <c r="G140" s="381">
        <v>6</v>
      </c>
      <c r="H140" s="391"/>
      <c r="I140" s="384" t="str">
        <f>IFERROR(_xlfn.XLOOKUP(K140,$M$135:$M$148,$N$135:$N$148),"")</f>
        <v/>
      </c>
      <c r="J140" s="388">
        <f>IFERROR(_xlfn.XLOOKUP(D140,$P$135:$P$145,$Q$135:$Q$145,,1),"")</f>
        <v>80</v>
      </c>
      <c r="L140" s="128"/>
      <c r="M140" s="2">
        <v>35</v>
      </c>
      <c r="N140" s="1">
        <v>7.0000000000000007E-2</v>
      </c>
      <c r="P140" s="6">
        <v>350</v>
      </c>
      <c r="Q140" s="377">
        <v>50</v>
      </c>
    </row>
    <row r="141" spans="1:17" s="4" customFormat="1" ht="15.6" thickBot="1">
      <c r="A141" s="395"/>
      <c r="B141" s="396"/>
      <c r="C141" s="396"/>
      <c r="D141" s="397"/>
      <c r="E141" s="396"/>
      <c r="F141" s="396"/>
      <c r="G141" s="398"/>
      <c r="H141" s="399"/>
      <c r="J141" s="332"/>
      <c r="L141" s="128"/>
      <c r="M141" s="2">
        <v>40</v>
      </c>
      <c r="N141" s="1">
        <v>6.8000000000000005E-2</v>
      </c>
      <c r="P141" s="6">
        <v>400</v>
      </c>
      <c r="Q141" s="377">
        <v>52</v>
      </c>
    </row>
    <row r="142" spans="1:17" s="4" customFormat="1">
      <c r="A142" s="315" t="s">
        <v>192</v>
      </c>
      <c r="B142" s="172">
        <f>4.6+7</f>
        <v>11.6</v>
      </c>
      <c r="C142" s="172">
        <f>4.6+7</f>
        <v>11.6</v>
      </c>
      <c r="D142" s="67">
        <v>81</v>
      </c>
      <c r="E142" s="68">
        <f>D142*0.53*F142/B142</f>
        <v>37.008620689655174</v>
      </c>
      <c r="F142" s="69">
        <v>10</v>
      </c>
      <c r="G142" s="70">
        <v>5</v>
      </c>
      <c r="H142" s="71">
        <f t="shared" ref="H142:H151" si="18">D142*I142*(0.6957*G142^-0.095)</f>
        <v>25.631896539633068</v>
      </c>
      <c r="I142" s="72">
        <v>0.53</v>
      </c>
      <c r="J142" s="331">
        <v>32</v>
      </c>
      <c r="L142" s="128"/>
      <c r="M142" s="2">
        <v>45</v>
      </c>
      <c r="N142" s="1">
        <v>6.7000000000000004E-2</v>
      </c>
      <c r="P142" s="6">
        <v>450</v>
      </c>
      <c r="Q142" s="377">
        <v>53</v>
      </c>
    </row>
    <row r="143" spans="1:17" s="4" customFormat="1">
      <c r="A143" s="316" t="s">
        <v>195</v>
      </c>
      <c r="B143" s="159">
        <f>5.2+7</f>
        <v>12.2</v>
      </c>
      <c r="C143" s="159">
        <f>5.2+7</f>
        <v>12.2</v>
      </c>
      <c r="D143" s="78">
        <f>130/1.343</f>
        <v>96.798212956068511</v>
      </c>
      <c r="E143" s="79">
        <f>D143*0.53*F143/B143</f>
        <v>42.051682677636329</v>
      </c>
      <c r="F143" s="80">
        <v>10</v>
      </c>
      <c r="G143" s="81">
        <v>5</v>
      </c>
      <c r="H143" s="82">
        <f t="shared" si="18"/>
        <v>30.631133082855769</v>
      </c>
      <c r="I143" s="83">
        <v>0.53</v>
      </c>
      <c r="J143" s="335">
        <v>35</v>
      </c>
      <c r="L143" s="128"/>
      <c r="M143" s="2">
        <v>50</v>
      </c>
      <c r="N143" s="1">
        <v>6.6000000000000003E-2</v>
      </c>
      <c r="P143" s="6">
        <v>500</v>
      </c>
      <c r="Q143" s="377">
        <v>55</v>
      </c>
    </row>
    <row r="144" spans="1:17" s="4" customFormat="1">
      <c r="A144" s="316" t="s">
        <v>193</v>
      </c>
      <c r="B144" s="159">
        <f>11.1+7</f>
        <v>18.100000000000001</v>
      </c>
      <c r="C144" s="159">
        <f>11.1+7</f>
        <v>18.100000000000001</v>
      </c>
      <c r="D144" s="78">
        <f>235/1.343</f>
        <v>174.98138495904692</v>
      </c>
      <c r="E144" s="79">
        <f t="shared" ref="E144:E146" si="19">D144*0.53*F144/B144</f>
        <v>51.237643109555172</v>
      </c>
      <c r="F144" s="80">
        <v>10</v>
      </c>
      <c r="G144" s="81">
        <v>5</v>
      </c>
      <c r="H144" s="82">
        <f t="shared" si="18"/>
        <v>55.371663649777737</v>
      </c>
      <c r="I144" s="83">
        <v>0.53</v>
      </c>
      <c r="J144" s="335">
        <v>40</v>
      </c>
      <c r="L144" s="128"/>
      <c r="M144" s="2">
        <v>55</v>
      </c>
      <c r="N144" s="1">
        <v>6.5000000000000002E-2</v>
      </c>
      <c r="P144" s="6">
        <v>550</v>
      </c>
      <c r="Q144" s="377">
        <v>60</v>
      </c>
    </row>
    <row r="145" spans="1:17" s="4" customFormat="1">
      <c r="A145" s="400" t="s">
        <v>196</v>
      </c>
      <c r="B145" s="159">
        <f>10.8+7</f>
        <v>17.8</v>
      </c>
      <c r="C145" s="159">
        <f>10.8+7</f>
        <v>17.8</v>
      </c>
      <c r="D145" s="78">
        <f>300/1.343</f>
        <v>223.38049143708116</v>
      </c>
      <c r="E145" s="79">
        <f>D145*0.53*F145/B145</f>
        <v>66.512168798681458</v>
      </c>
      <c r="F145" s="80">
        <v>10</v>
      </c>
      <c r="G145" s="81">
        <v>5</v>
      </c>
      <c r="H145" s="82">
        <f t="shared" si="18"/>
        <v>70.687230191205614</v>
      </c>
      <c r="I145" s="83">
        <v>0.53</v>
      </c>
      <c r="J145" s="335">
        <v>35</v>
      </c>
      <c r="L145" s="128"/>
      <c r="M145" s="2">
        <v>60</v>
      </c>
      <c r="N145" s="1">
        <v>6.4000000000000001E-2</v>
      </c>
      <c r="P145" s="6">
        <v>700</v>
      </c>
      <c r="Q145" s="377">
        <v>80</v>
      </c>
    </row>
    <row r="146" spans="1:17" s="4" customFormat="1" ht="15.6" thickBot="1">
      <c r="A146" s="402" t="s">
        <v>194</v>
      </c>
      <c r="B146" s="403">
        <f>11.1+7</f>
        <v>18.100000000000001</v>
      </c>
      <c r="C146" s="403">
        <f>11.1+7</f>
        <v>18.100000000000001</v>
      </c>
      <c r="D146" s="404">
        <f>348/1.343</f>
        <v>259.12137006701414</v>
      </c>
      <c r="E146" s="405">
        <f t="shared" si="19"/>
        <v>75.87531830691573</v>
      </c>
      <c r="F146" s="406">
        <v>10</v>
      </c>
      <c r="G146" s="407">
        <v>5</v>
      </c>
      <c r="H146" s="408">
        <f t="shared" si="18"/>
        <v>81.99718702179851</v>
      </c>
      <c r="I146" s="409">
        <v>0.53</v>
      </c>
      <c r="J146" s="410">
        <v>45</v>
      </c>
      <c r="L146" s="128"/>
      <c r="M146" s="2">
        <v>70</v>
      </c>
      <c r="N146" s="1">
        <v>6.3E-2</v>
      </c>
    </row>
    <row r="147" spans="1:17" ht="15.6" thickTop="1">
      <c r="A147" s="319" t="s">
        <v>341</v>
      </c>
      <c r="B147" s="151">
        <v>26</v>
      </c>
      <c r="C147" s="151">
        <v>26</v>
      </c>
      <c r="D147" s="152">
        <v>255</v>
      </c>
      <c r="E147" s="401">
        <f>D147*0.53*F147/C147</f>
        <v>77.97115384615384</v>
      </c>
      <c r="F147" s="153">
        <v>15</v>
      </c>
      <c r="G147" s="154">
        <v>5</v>
      </c>
      <c r="H147" s="155">
        <f t="shared" si="18"/>
        <v>80.693007624770772</v>
      </c>
      <c r="I147" s="156">
        <v>0.53</v>
      </c>
      <c r="J147" s="338">
        <v>45</v>
      </c>
      <c r="M147" s="2">
        <v>80</v>
      </c>
      <c r="N147" s="1">
        <v>6.0999999999999999E-2</v>
      </c>
      <c r="P147" s="4"/>
      <c r="Q147" s="4"/>
    </row>
    <row r="148" spans="1:17">
      <c r="A148" s="316" t="s">
        <v>342</v>
      </c>
      <c r="B148" s="159">
        <v>30</v>
      </c>
      <c r="C148" s="159">
        <v>30</v>
      </c>
      <c r="D148" s="78">
        <v>280</v>
      </c>
      <c r="E148" s="79">
        <f t="shared" ref="E148:E151" si="20">D148*0.53*F148/C148</f>
        <v>86.566666666666663</v>
      </c>
      <c r="F148" s="80">
        <v>17.5</v>
      </c>
      <c r="G148" s="81">
        <v>5</v>
      </c>
      <c r="H148" s="82">
        <f t="shared" si="18"/>
        <v>88.604086803669873</v>
      </c>
      <c r="I148" s="83">
        <v>0.53</v>
      </c>
      <c r="J148" s="335">
        <v>48</v>
      </c>
      <c r="M148" s="2">
        <v>90</v>
      </c>
      <c r="N148" s="1">
        <v>0.06</v>
      </c>
      <c r="P148" s="4"/>
      <c r="Q148" s="4"/>
    </row>
    <row r="149" spans="1:17" s="4" customFormat="1">
      <c r="A149" s="316" t="s">
        <v>343</v>
      </c>
      <c r="B149" s="159">
        <v>35</v>
      </c>
      <c r="C149" s="159">
        <v>35</v>
      </c>
      <c r="D149" s="78">
        <v>324</v>
      </c>
      <c r="E149" s="79">
        <f t="shared" si="20"/>
        <v>98.125714285714295</v>
      </c>
      <c r="F149" s="80">
        <v>20</v>
      </c>
      <c r="G149" s="81">
        <v>5</v>
      </c>
      <c r="H149" s="82">
        <f t="shared" si="18"/>
        <v>102.52758615853227</v>
      </c>
      <c r="I149" s="83">
        <v>0.53</v>
      </c>
      <c r="J149" s="335">
        <v>50</v>
      </c>
      <c r="L149" s="128"/>
    </row>
    <row r="150" spans="1:17" s="4" customFormat="1">
      <c r="A150" s="316" t="s">
        <v>344</v>
      </c>
      <c r="B150" s="159">
        <v>40</v>
      </c>
      <c r="C150" s="159">
        <v>40</v>
      </c>
      <c r="D150" s="78">
        <v>337</v>
      </c>
      <c r="E150" s="79">
        <f t="shared" si="20"/>
        <v>102.70075000000001</v>
      </c>
      <c r="F150" s="80">
        <v>23</v>
      </c>
      <c r="G150" s="81">
        <v>5</v>
      </c>
      <c r="H150" s="82">
        <f t="shared" si="18"/>
        <v>106.6413473315598</v>
      </c>
      <c r="I150" s="83">
        <v>0.53</v>
      </c>
      <c r="J150" s="335">
        <v>52</v>
      </c>
      <c r="L150" s="128"/>
    </row>
    <row r="151" spans="1:17" s="4" customFormat="1" ht="15.6" thickBot="1">
      <c r="A151" s="318" t="s">
        <v>345</v>
      </c>
      <c r="B151" s="177">
        <v>45</v>
      </c>
      <c r="C151" s="177">
        <v>45</v>
      </c>
      <c r="D151" s="135">
        <v>381</v>
      </c>
      <c r="E151" s="136">
        <f t="shared" si="20"/>
        <v>116.67066666666668</v>
      </c>
      <c r="F151" s="148">
        <v>26</v>
      </c>
      <c r="G151" s="138">
        <v>5</v>
      </c>
      <c r="H151" s="139">
        <f t="shared" si="18"/>
        <v>120.56484668642221</v>
      </c>
      <c r="I151" s="140">
        <v>0.53</v>
      </c>
      <c r="J151" s="337">
        <v>55</v>
      </c>
      <c r="L151" s="128"/>
    </row>
    <row r="152" spans="1:17" s="4" customFormat="1">
      <c r="A152" s="395"/>
      <c r="B152" s="396"/>
      <c r="C152" s="396"/>
      <c r="D152" s="397"/>
      <c r="E152" s="396"/>
      <c r="F152" s="396"/>
      <c r="G152" s="398"/>
      <c r="H152" s="399"/>
      <c r="J152" s="332"/>
      <c r="L152" s="128"/>
    </row>
    <row r="153" spans="1:17" s="4" customFormat="1">
      <c r="A153" s="43"/>
      <c r="B153" s="300"/>
      <c r="C153" s="43"/>
      <c r="D153" s="43"/>
      <c r="E153" s="43"/>
      <c r="F153" s="43"/>
      <c r="J153" s="332"/>
      <c r="L153" s="128"/>
    </row>
    <row r="154" spans="1:17" s="4" customFormat="1" ht="15.6" thickBot="1">
      <c r="A154" s="325" t="s">
        <v>309</v>
      </c>
      <c r="B154" s="76"/>
      <c r="C154" s="159">
        <v>70</v>
      </c>
      <c r="D154" s="78">
        <v>650</v>
      </c>
      <c r="E154" s="79"/>
      <c r="F154" s="183"/>
      <c r="G154" s="81"/>
      <c r="H154" s="82">
        <v>4.0999999999999996</v>
      </c>
      <c r="I154" s="305"/>
      <c r="J154" s="342">
        <v>5</v>
      </c>
      <c r="L154" s="128"/>
    </row>
    <row r="155" spans="1:17">
      <c r="A155" s="375" t="s">
        <v>310</v>
      </c>
      <c r="B155" s="126" t="s">
        <v>311</v>
      </c>
      <c r="C155" s="172">
        <v>24.3</v>
      </c>
      <c r="D155" s="67">
        <v>287</v>
      </c>
      <c r="E155" s="68"/>
      <c r="F155" s="194"/>
      <c r="G155" s="70">
        <v>5</v>
      </c>
      <c r="H155" s="71">
        <f t="shared" ref="H155:H159" si="21">D155*I155*(0.6957*G155^-0.095)</f>
        <v>90.819188973761612</v>
      </c>
      <c r="I155" s="376">
        <v>0.53</v>
      </c>
      <c r="J155" s="363">
        <v>190</v>
      </c>
    </row>
    <row r="156" spans="1:17">
      <c r="A156" s="325" t="s">
        <v>310</v>
      </c>
      <c r="B156" s="76" t="s">
        <v>312</v>
      </c>
      <c r="C156" s="159">
        <v>21.7</v>
      </c>
      <c r="D156" s="78">
        <v>287</v>
      </c>
      <c r="E156" s="79"/>
      <c r="F156" s="183"/>
      <c r="G156" s="81">
        <v>5</v>
      </c>
      <c r="H156" s="82">
        <f t="shared" si="21"/>
        <v>90.819188973761612</v>
      </c>
      <c r="I156" s="305">
        <v>0.53</v>
      </c>
      <c r="J156" s="342">
        <v>180</v>
      </c>
    </row>
    <row r="157" spans="1:17">
      <c r="A157" s="325" t="s">
        <v>310</v>
      </c>
      <c r="B157" s="76" t="s">
        <v>313</v>
      </c>
      <c r="C157" s="159">
        <v>14.8</v>
      </c>
      <c r="D157" s="78">
        <v>168</v>
      </c>
      <c r="E157" s="79">
        <f>F157*I157/2.7</f>
        <v>270.88888888888891</v>
      </c>
      <c r="F157" s="79">
        <f>23*60</f>
        <v>1380</v>
      </c>
      <c r="G157" s="81">
        <v>5</v>
      </c>
      <c r="H157" s="82">
        <f t="shared" si="21"/>
        <v>53.162452082201924</v>
      </c>
      <c r="I157" s="305">
        <v>0.53</v>
      </c>
      <c r="J157" s="342">
        <v>170</v>
      </c>
    </row>
    <row r="158" spans="1:17">
      <c r="A158" s="325" t="s">
        <v>310</v>
      </c>
      <c r="B158" s="76" t="s">
        <v>314</v>
      </c>
      <c r="C158" s="159">
        <v>15.7</v>
      </c>
      <c r="D158" s="78">
        <v>168</v>
      </c>
      <c r="E158" s="79"/>
      <c r="F158" s="183"/>
      <c r="G158" s="81">
        <v>5</v>
      </c>
      <c r="H158" s="82">
        <f t="shared" si="21"/>
        <v>53.162452082201924</v>
      </c>
      <c r="I158" s="305">
        <v>0.53</v>
      </c>
      <c r="J158" s="342">
        <v>160</v>
      </c>
    </row>
    <row r="159" spans="1:17" ht="15.6" thickBot="1">
      <c r="A159" s="326" t="s">
        <v>310</v>
      </c>
      <c r="B159" s="147" t="s">
        <v>315</v>
      </c>
      <c r="C159" s="177">
        <v>28.5</v>
      </c>
      <c r="D159" s="135">
        <v>403</v>
      </c>
      <c r="E159" s="136"/>
      <c r="F159" s="185"/>
      <c r="G159" s="138">
        <v>5</v>
      </c>
      <c r="H159" s="139">
        <f t="shared" si="21"/>
        <v>127.52659636385341</v>
      </c>
      <c r="I159" s="306">
        <v>0.53</v>
      </c>
      <c r="J159" s="343">
        <v>220</v>
      </c>
    </row>
    <row r="160" spans="1:17" ht="15.6" thickBot="1"/>
    <row r="161" spans="1:10">
      <c r="A161" s="327" t="s">
        <v>316</v>
      </c>
      <c r="B161" s="65" t="s">
        <v>317</v>
      </c>
      <c r="C161" s="301"/>
      <c r="D161" s="67">
        <v>265</v>
      </c>
      <c r="E161" s="68">
        <v>60</v>
      </c>
      <c r="F161" s="302"/>
      <c r="G161" s="303"/>
      <c r="H161" s="303"/>
      <c r="I161" s="304"/>
      <c r="J161" s="341">
        <v>60</v>
      </c>
    </row>
    <row r="162" spans="1:10" ht="15.6" customHeight="1">
      <c r="A162" s="328" t="s">
        <v>316</v>
      </c>
      <c r="B162" s="76" t="s">
        <v>318</v>
      </c>
      <c r="C162" s="307"/>
      <c r="D162" s="78">
        <v>290</v>
      </c>
      <c r="E162" s="79">
        <v>80</v>
      </c>
      <c r="F162" s="308"/>
      <c r="G162" s="5"/>
      <c r="H162" s="5"/>
      <c r="I162" s="309"/>
      <c r="J162" s="344">
        <v>70</v>
      </c>
    </row>
    <row r="163" spans="1:10" ht="16.2" customHeight="1" thickBot="1">
      <c r="A163" s="329" t="s">
        <v>316</v>
      </c>
      <c r="B163" s="147" t="s">
        <v>319</v>
      </c>
      <c r="C163" s="310"/>
      <c r="D163" s="135">
        <v>375</v>
      </c>
      <c r="E163" s="136">
        <v>100</v>
      </c>
      <c r="F163" s="311"/>
      <c r="G163" s="312"/>
      <c r="H163" s="312"/>
      <c r="I163" s="313"/>
      <c r="J163" s="345">
        <v>80</v>
      </c>
    </row>
    <row r="166" spans="1:10">
      <c r="B166" s="176"/>
      <c r="C166" s="176"/>
      <c r="D166" s="176"/>
      <c r="E166" s="4"/>
      <c r="F166" s="176"/>
      <c r="G166" s="176"/>
    </row>
    <row r="167" spans="1:10">
      <c r="A167" s="61"/>
      <c r="B167" s="176"/>
      <c r="C167" s="176"/>
      <c r="D167" s="176"/>
      <c r="E167" s="4"/>
      <c r="F167" s="176"/>
      <c r="G167" s="176"/>
    </row>
    <row r="168" spans="1:10">
      <c r="A168" s="61"/>
      <c r="B168" s="176"/>
      <c r="C168" s="176"/>
      <c r="D168" s="176"/>
      <c r="E168" s="176"/>
      <c r="F168" s="176"/>
      <c r="G168" s="176"/>
      <c r="H168" s="176"/>
      <c r="I168" s="176"/>
      <c r="J168" s="176"/>
    </row>
    <row r="169" spans="1:10">
      <c r="A169" s="61"/>
      <c r="B169" s="61"/>
      <c r="C169" s="61"/>
      <c r="D169" s="61"/>
      <c r="E169" s="61"/>
      <c r="F169" s="61"/>
      <c r="G169" s="61"/>
      <c r="H169" s="61"/>
      <c r="I169" s="61"/>
      <c r="J169" s="61"/>
    </row>
    <row r="170" spans="1:10">
      <c r="A170" s="61"/>
      <c r="B170" s="61"/>
      <c r="C170" s="61"/>
      <c r="D170" s="61"/>
      <c r="E170" s="61"/>
      <c r="F170" s="61"/>
      <c r="G170" s="61"/>
      <c r="H170" s="61"/>
      <c r="I170" s="61"/>
      <c r="J170" s="61"/>
    </row>
    <row r="171" spans="1:10">
      <c r="A171" s="61"/>
      <c r="B171" s="61"/>
      <c r="C171" s="61"/>
      <c r="D171" s="61"/>
      <c r="E171" s="61"/>
      <c r="F171" s="61"/>
      <c r="G171" s="61"/>
      <c r="H171" s="61"/>
      <c r="I171" s="61"/>
      <c r="J171" s="61"/>
    </row>
  </sheetData>
  <dataConsolidate/>
  <mergeCells count="1">
    <mergeCell ref="M134:N134"/>
  </mergeCells>
  <dataValidations disablePrompts="1" count="5">
    <dataValidation type="list" allowBlank="1" showInputMessage="1" showErrorMessage="1" sqref="N12 G134:G146 G152" xr:uid="{A147A710-DC71-4B33-B9EB-56F4BF936B04}">
      <formula1>"1,2,3,4,5,6"</formula1>
    </dataValidation>
    <dataValidation type="list" allowBlank="1" showInputMessage="1" showErrorMessage="1" sqref="M12 G155:G159 G142:G151 G4:G131" xr:uid="{4ECE2781-53F2-4FD6-A786-2DF38E3EB403}">
      <formula1>"1,2,3,4,5"</formula1>
    </dataValidation>
    <dataValidation type="list" allowBlank="1" showInputMessage="1" showErrorMessage="1" sqref="I71:I73 I147:I151 I4:I54" xr:uid="{C2C4D3A6-BFC0-448C-8180-560AC9CDB48D}">
      <formula1>"0.53"</formula1>
    </dataValidation>
    <dataValidation type="list" allowBlank="1" showInputMessage="1" showErrorMessage="1" sqref="I99:I131 I155:I159 I55:I70 I142:I146" xr:uid="{28848E42-0995-442A-939E-77ED675CB992}">
      <formula1>"0.53,1"</formula1>
    </dataValidation>
    <dataValidation type="list" allowBlank="1" showInputMessage="1" showErrorMessage="1" sqref="I74:I98" xr:uid="{50EB2382-22B3-474E-8B73-5E1ED57BE8C0}">
      <formula1>"0.3,0.4,0.53"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Materjalid</vt:lpstr>
      <vt:lpstr>Karjäärid</vt:lpstr>
      <vt:lpstr>GWP</vt:lpstr>
      <vt:lpstr>Masinad</vt:lpstr>
      <vt:lpstr>Masinad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Aleksei Solovjov</dc:creator>
  <cp:lastModifiedBy>Tarvo Mill</cp:lastModifiedBy>
  <cp:lastPrinted>2016-04-26T16:43:38Z</cp:lastPrinted>
  <dcterms:created xsi:type="dcterms:W3CDTF">2012-03-16T11:44:40Z</dcterms:created>
  <dcterms:modified xsi:type="dcterms:W3CDTF">2026-04-24T08:44:56Z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450d4c88-3773-4a01-8567-b4ed9ea2ad09_Enabled">
    <vt:lpwstr>True</vt:lpwstr>
  </property>
  <property fmtid="{D5CDD505-2E9C-101B-9397-08002B2CF9AE}" pid="3" name="MSIP_Label_450d4c88-3773-4a01-8567-b4ed9ea2ad09_SiteId">
    <vt:lpwstr>de5d17d0-fbc2-4c29-b0f7-d6685b6c3ef0</vt:lpwstr>
  </property>
  <property fmtid="{D5CDD505-2E9C-101B-9397-08002B2CF9AE}" pid="4" name="MSIP_Label_450d4c88-3773-4a01-8567-b4ed9ea2ad09_Owner">
    <vt:lpwstr>alar.tooming@yit.ee</vt:lpwstr>
  </property>
  <property fmtid="{D5CDD505-2E9C-101B-9397-08002B2CF9AE}" pid="5" name="MSIP_Label_450d4c88-3773-4a01-8567-b4ed9ea2ad09_SetDate">
    <vt:lpwstr>2019-02-25T10:40:04.2742090Z</vt:lpwstr>
  </property>
  <property fmtid="{D5CDD505-2E9C-101B-9397-08002B2CF9AE}" pid="6" name="MSIP_Label_450d4c88-3773-4a01-8567-b4ed9ea2ad09_Name">
    <vt:lpwstr>Internal</vt:lpwstr>
  </property>
  <property fmtid="{D5CDD505-2E9C-101B-9397-08002B2CF9AE}" pid="7" name="MSIP_Label_450d4c88-3773-4a01-8567-b4ed9ea2ad09_Application">
    <vt:lpwstr>Microsoft Azure Information Protection</vt:lpwstr>
  </property>
  <property fmtid="{D5CDD505-2E9C-101B-9397-08002B2CF9AE}" pid="8" name="MSIP_Label_450d4c88-3773-4a01-8567-b4ed9ea2ad09_Extended_MSFT_Method">
    <vt:lpwstr>Automatic</vt:lpwstr>
  </property>
  <property fmtid="{D5CDD505-2E9C-101B-9397-08002B2CF9AE}" pid="9" name="Sensitivity">
    <vt:lpwstr>Internal</vt:lpwstr>
  </property>
</Properties>
</file>