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op043\Downloads\"/>
    </mc:Choice>
  </mc:AlternateContent>
  <xr:revisionPtr revIDLastSave="0" documentId="13_ncr:1_{2BE4B59F-3169-422A-A551-17B3A6C7082A}" xr6:coauthVersionLast="47" xr6:coauthVersionMax="47" xr10:uidLastSave="{00000000-0000-0000-0000-000000000000}"/>
  <bookViews>
    <workbookView xWindow="-108" yWindow="-108" windowWidth="23256" windowHeight="13896" tabRatio="868" activeTab="4" xr2:uid="{970A59A8-2C87-47B2-903E-798FCE6539C4}"/>
  </bookViews>
  <sheets>
    <sheet name="GWP" sheetId="58" r:id="rId1"/>
    <sheet name="Masinad" sheetId="3" r:id="rId2"/>
    <sheet name="Talihoole" sheetId="61" r:id="rId3"/>
    <sheet name="Suvine hoole" sheetId="64" r:id="rId4"/>
    <sheet name="Hoolduse võrdlus" sheetId="66" r:id="rId5"/>
  </sheets>
  <externalReferences>
    <externalReference r:id="rId6"/>
  </externalReferences>
  <definedNames>
    <definedName name="__xlnm.Print_Area">#REF!</definedName>
    <definedName name="__xlnm.Print_Titles">NA()</definedName>
    <definedName name="__xlnm.Print_Titles_1">NA()</definedName>
    <definedName name="__xlnm.Print_Titles_2">#REF!</definedName>
    <definedName name="__xlnm.Print_Titles_6">NA()</definedName>
    <definedName name="__xlnm.Print_Titles_7">NA()</definedName>
    <definedName name="__xlnm.Print_Titles_8">NA()</definedName>
    <definedName name="_xlnm._FilterDatabase" localSheetId="0" hidden="1">GWP!$A$1:$D$121</definedName>
    <definedName name="_xlnm._FilterDatabase" localSheetId="1" hidden="1">Masinad!$H$160:$H$169</definedName>
    <definedName name="HOTELLI_EHITUSTÖÖD">#REF!</definedName>
    <definedName name="Masinad">Masinad!$A$4:$A$155</definedName>
    <definedName name="MasinaVõims">_xlfn._xlws.FILTER([1]Masinad!$D$4:$D$163, [1]Masinad!$A$4:$A$163=#REF!)</definedName>
    <definedName name="MasinaVõimsused">_xlfn._xlws.FILTER([1]Masinad!$D$4:$D$163, [1]Masinad!$A$4:$A$163=#REF!)</definedName>
    <definedName name="Std_Units" localSheetId="0">#REF!</definedName>
    <definedName name="Std_Units" localSheetId="3">#REF!</definedName>
    <definedName name="Std_Units" localSheetId="2">#REF!</definedName>
    <definedName name="Std_Un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64" l="1"/>
  <c r="C25" i="64"/>
  <c r="N16" i="64"/>
  <c r="C14" i="64"/>
  <c r="C16" i="64" s="1"/>
  <c r="E16" i="64" s="1"/>
  <c r="C16" i="66"/>
  <c r="F36" i="66" s="1"/>
  <c r="G46" i="66"/>
  <c r="G45" i="66"/>
  <c r="G44" i="66"/>
  <c r="G43" i="66"/>
  <c r="G42" i="66"/>
  <c r="H24" i="64"/>
  <c r="D42" i="66"/>
  <c r="C25" i="66"/>
  <c r="C26" i="66"/>
  <c r="C13" i="66"/>
  <c r="E46" i="66" s="1"/>
  <c r="C42" i="66"/>
  <c r="C44" i="66"/>
  <c r="E43" i="66"/>
  <c r="C43" i="66"/>
  <c r="C45" i="66"/>
  <c r="C46" i="66"/>
  <c r="C24" i="66"/>
  <c r="B44" i="66" s="1"/>
  <c r="C23" i="66"/>
  <c r="B45" i="66" s="1"/>
  <c r="B42" i="66"/>
  <c r="E44" i="66" l="1"/>
  <c r="B43" i="66"/>
  <c r="D43" i="66" s="1"/>
  <c r="B46" i="66"/>
  <c r="D46" i="66" s="1"/>
  <c r="F43" i="66" l="1"/>
  <c r="F46" i="66"/>
  <c r="E42" i="66"/>
  <c r="D44" i="66" l="1"/>
  <c r="D45" i="66"/>
  <c r="F45" i="66" l="1"/>
  <c r="F44" i="66"/>
  <c r="F42" i="66"/>
  <c r="C9" i="61"/>
  <c r="E24" i="61"/>
  <c r="C6" i="66" s="1"/>
  <c r="E25" i="61"/>
  <c r="E26" i="61"/>
  <c r="C7" i="66"/>
  <c r="C19" i="66"/>
  <c r="E25" i="64"/>
  <c r="E26" i="64"/>
  <c r="E27" i="64"/>
  <c r="E28" i="64"/>
  <c r="C10" i="66"/>
  <c r="B38" i="66"/>
  <c r="A38" i="66"/>
  <c r="F38" i="66" s="1"/>
  <c r="G38" i="66" s="1"/>
  <c r="B37" i="66"/>
  <c r="A37" i="66"/>
  <c r="H37" i="66" s="1"/>
  <c r="D36" i="66"/>
  <c r="B36" i="66"/>
  <c r="A36" i="66"/>
  <c r="F32" i="66"/>
  <c r="D38" i="66" s="1"/>
  <c r="F31" i="66"/>
  <c r="D37" i="66" s="1"/>
  <c r="K42" i="66" l="1"/>
  <c r="K46" i="66"/>
  <c r="K43" i="66"/>
  <c r="K44" i="66"/>
  <c r="K45" i="66"/>
  <c r="C51" i="66"/>
  <c r="C52" i="66"/>
  <c r="C53" i="66"/>
  <c r="C37" i="66"/>
  <c r="H36" i="66"/>
  <c r="I36" i="66" s="1"/>
  <c r="C38" i="66"/>
  <c r="E37" i="66"/>
  <c r="C36" i="66"/>
  <c r="E23" i="61"/>
  <c r="E38" i="66"/>
  <c r="E36" i="66"/>
  <c r="I37" i="66"/>
  <c r="F37" i="66"/>
  <c r="G37" i="66" s="1"/>
  <c r="H38" i="66"/>
  <c r="I38" i="66" s="1"/>
  <c r="J38" i="66" l="1"/>
  <c r="J37" i="66"/>
  <c r="C24" i="64"/>
  <c r="E24" i="64" s="1"/>
  <c r="C18" i="66" s="1"/>
  <c r="N15" i="64"/>
  <c r="N14" i="64"/>
  <c r="E14" i="64" s="1"/>
  <c r="C15" i="64"/>
  <c r="E22" i="64"/>
  <c r="E21" i="64"/>
  <c r="E20" i="64"/>
  <c r="E19" i="64"/>
  <c r="E18" i="64"/>
  <c r="E17" i="64"/>
  <c r="O12" i="64"/>
  <c r="E12" i="64"/>
  <c r="O11" i="64"/>
  <c r="E11" i="64"/>
  <c r="O10" i="64"/>
  <c r="E10" i="64" s="1"/>
  <c r="O9" i="64"/>
  <c r="E9" i="64" s="1"/>
  <c r="B52" i="66" l="1"/>
  <c r="D52" i="66" s="1"/>
  <c r="B53" i="66"/>
  <c r="D53" i="66" s="1"/>
  <c r="E15" i="64"/>
  <c r="E23" i="64"/>
  <c r="E13" i="64"/>
  <c r="C17" i="66" s="1"/>
  <c r="G36" i="66" s="1"/>
  <c r="E8" i="64"/>
  <c r="E22" i="61"/>
  <c r="E21" i="61"/>
  <c r="E20" i="61"/>
  <c r="E19" i="61"/>
  <c r="E18" i="61"/>
  <c r="E17" i="61"/>
  <c r="E14" i="61"/>
  <c r="O12" i="61"/>
  <c r="E12" i="61"/>
  <c r="O11" i="61"/>
  <c r="E11" i="61"/>
  <c r="O10" i="61"/>
  <c r="E10" i="61" s="1"/>
  <c r="O9" i="61"/>
  <c r="E9" i="61" s="1"/>
  <c r="J36" i="66" l="1"/>
  <c r="E6" i="64"/>
  <c r="F8" i="64" s="1"/>
  <c r="E27" i="61"/>
  <c r="E13" i="61"/>
  <c r="E8" i="61"/>
  <c r="E28" i="61"/>
  <c r="K37" i="66" l="1"/>
  <c r="K36" i="66"/>
  <c r="K38" i="66"/>
  <c r="B51" i="66"/>
  <c r="D51" i="66" s="1"/>
  <c r="E6" i="61"/>
  <c r="F8" i="61" s="1"/>
  <c r="D85" i="58"/>
  <c r="D84" i="58"/>
  <c r="D83" i="58"/>
  <c r="D82" i="58"/>
  <c r="D81" i="58"/>
  <c r="D69" i="58"/>
  <c r="D64" i="58"/>
  <c r="D63" i="58"/>
  <c r="D62" i="58"/>
  <c r="D61" i="58"/>
  <c r="D60" i="58"/>
  <c r="D59" i="58"/>
  <c r="D58" i="58"/>
  <c r="D57" i="58"/>
  <c r="D56" i="58"/>
  <c r="D55" i="58"/>
  <c r="D54" i="58"/>
  <c r="D52" i="58"/>
  <c r="D51" i="58"/>
  <c r="D50" i="58"/>
  <c r="D49" i="58"/>
  <c r="D48" i="58"/>
  <c r="D47" i="58"/>
  <c r="D46" i="58"/>
  <c r="D45" i="58"/>
  <c r="D44" i="58"/>
  <c r="D42" i="58"/>
  <c r="D41" i="58"/>
  <c r="D40" i="58"/>
  <c r="D39" i="58"/>
  <c r="D38" i="58"/>
  <c r="D37" i="58"/>
  <c r="D35" i="58"/>
  <c r="D34" i="58"/>
  <c r="D33" i="58"/>
  <c r="D32" i="58"/>
  <c r="D31" i="58"/>
  <c r="D30" i="58"/>
  <c r="D29" i="58"/>
  <c r="D28" i="58"/>
  <c r="D27" i="58"/>
  <c r="D24" i="58"/>
  <c r="D23" i="58"/>
  <c r="D22" i="58"/>
  <c r="D21" i="58"/>
  <c r="D20" i="58"/>
  <c r="D19" i="58"/>
  <c r="D18" i="58"/>
  <c r="E52" i="66" l="1"/>
  <c r="E51" i="66"/>
  <c r="E53" i="66"/>
  <c r="H118" i="3"/>
  <c r="H119" i="3"/>
  <c r="H120" i="3"/>
  <c r="H117" i="3"/>
  <c r="H99" i="3"/>
  <c r="H98" i="3"/>
  <c r="H10" i="3"/>
  <c r="H107" i="3"/>
  <c r="H169" i="3"/>
  <c r="H168" i="3"/>
  <c r="H167" i="3"/>
  <c r="F167" i="3"/>
  <c r="E167" i="3"/>
  <c r="H166" i="3"/>
  <c r="H165" i="3"/>
  <c r="H164" i="3"/>
  <c r="H163" i="3"/>
  <c r="H162" i="3"/>
  <c r="E25" i="3"/>
  <c r="E138" i="3"/>
  <c r="F133" i="3"/>
  <c r="F134" i="3"/>
  <c r="H134" i="3"/>
  <c r="E134" i="3"/>
  <c r="E132" i="3"/>
  <c r="E133" i="3"/>
  <c r="E135" i="3"/>
  <c r="P149" i="3"/>
  <c r="M146" i="3"/>
  <c r="N146" i="3"/>
  <c r="H133" i="3"/>
  <c r="M145" i="3"/>
  <c r="N145" i="3"/>
  <c r="M148" i="3"/>
  <c r="N148" i="3"/>
  <c r="Q144" i="3"/>
  <c r="O141" i="3"/>
  <c r="O135" i="3"/>
  <c r="H114" i="3"/>
  <c r="H136" i="3"/>
  <c r="H137" i="3"/>
  <c r="H135" i="3"/>
  <c r="H132" i="3"/>
  <c r="N149" i="3"/>
  <c r="O142" i="3"/>
  <c r="O143" i="3"/>
  <c r="O144" i="3"/>
  <c r="O149" i="3"/>
  <c r="E72" i="3"/>
  <c r="E73" i="3"/>
  <c r="E74" i="3"/>
  <c r="E75" i="3"/>
  <c r="E76" i="3"/>
  <c r="E77" i="3"/>
  <c r="E78" i="3"/>
  <c r="E71" i="3"/>
  <c r="E148" i="3"/>
  <c r="E147" i="3"/>
  <c r="C47" i="3"/>
  <c r="C46" i="3"/>
  <c r="C45" i="3"/>
  <c r="C44" i="3"/>
  <c r="C43" i="3"/>
  <c r="E28" i="3"/>
  <c r="D153" i="3"/>
  <c r="D93" i="3"/>
  <c r="E93" i="3"/>
  <c r="D152" i="3"/>
  <c r="D151" i="3"/>
  <c r="H151" i="3"/>
  <c r="D150" i="3"/>
  <c r="D92" i="3"/>
  <c r="H149" i="3"/>
  <c r="H148" i="3"/>
  <c r="H147" i="3"/>
  <c r="H146" i="3"/>
  <c r="E146" i="3"/>
  <c r="H145" i="3"/>
  <c r="E145" i="3"/>
  <c r="H144" i="3"/>
  <c r="E144" i="3"/>
  <c r="H143" i="3"/>
  <c r="E143" i="3"/>
  <c r="H142" i="3"/>
  <c r="E142" i="3"/>
  <c r="H141" i="3"/>
  <c r="E141" i="3"/>
  <c r="H140" i="3"/>
  <c r="E140" i="3"/>
  <c r="H139" i="3"/>
  <c r="E139" i="3"/>
  <c r="H138" i="3"/>
  <c r="H131" i="3"/>
  <c r="E131" i="3"/>
  <c r="H130" i="3"/>
  <c r="E130" i="3"/>
  <c r="H129" i="3"/>
  <c r="E129" i="3"/>
  <c r="H128" i="3"/>
  <c r="E128" i="3"/>
  <c r="H127" i="3"/>
  <c r="E127" i="3"/>
  <c r="H126" i="3"/>
  <c r="E126" i="3"/>
  <c r="H125" i="3"/>
  <c r="E125" i="3"/>
  <c r="H124" i="3"/>
  <c r="E124" i="3"/>
  <c r="H123" i="3"/>
  <c r="E123" i="3"/>
  <c r="H122" i="3"/>
  <c r="E122" i="3"/>
  <c r="C120" i="3"/>
  <c r="E116" i="3"/>
  <c r="H115" i="3"/>
  <c r="F115" i="3"/>
  <c r="E115" i="3"/>
  <c r="F114" i="3"/>
  <c r="E114" i="3"/>
  <c r="H113" i="3"/>
  <c r="E113" i="3"/>
  <c r="H112" i="3"/>
  <c r="F112" i="3"/>
  <c r="E112" i="3"/>
  <c r="H111" i="3"/>
  <c r="F111" i="3"/>
  <c r="E111" i="3"/>
  <c r="F110" i="3"/>
  <c r="D110" i="3"/>
  <c r="H110" i="3"/>
  <c r="H109" i="3"/>
  <c r="E109" i="3"/>
  <c r="H108" i="3"/>
  <c r="F108" i="3"/>
  <c r="E108" i="3"/>
  <c r="F107" i="3"/>
  <c r="E107" i="3"/>
  <c r="H106" i="3"/>
  <c r="F106" i="3"/>
  <c r="E106" i="3"/>
  <c r="H105" i="3"/>
  <c r="F105" i="3"/>
  <c r="E105" i="3"/>
  <c r="H104" i="3"/>
  <c r="E104" i="3"/>
  <c r="H103" i="3"/>
  <c r="E103" i="3"/>
  <c r="H102" i="3"/>
  <c r="E102" i="3"/>
  <c r="H101" i="3"/>
  <c r="E101" i="3"/>
  <c r="H100" i="3"/>
  <c r="E100" i="3"/>
  <c r="E99" i="3"/>
  <c r="E98" i="3"/>
  <c r="H97" i="3"/>
  <c r="E97" i="3"/>
  <c r="H96" i="3"/>
  <c r="E96" i="3"/>
  <c r="H95" i="3"/>
  <c r="E95" i="3"/>
  <c r="H94" i="3"/>
  <c r="E94" i="3"/>
  <c r="D91" i="3"/>
  <c r="H90" i="3"/>
  <c r="E90" i="3"/>
  <c r="H89" i="3"/>
  <c r="E89" i="3"/>
  <c r="H88" i="3"/>
  <c r="E88" i="3"/>
  <c r="H87" i="3"/>
  <c r="E87" i="3"/>
  <c r="H86" i="3"/>
  <c r="E86" i="3"/>
  <c r="H85" i="3"/>
  <c r="E85" i="3"/>
  <c r="H84" i="3"/>
  <c r="E84" i="3"/>
  <c r="H83" i="3"/>
  <c r="E83" i="3"/>
  <c r="H82" i="3"/>
  <c r="E82" i="3"/>
  <c r="H81" i="3"/>
  <c r="E81" i="3"/>
  <c r="H80" i="3"/>
  <c r="E80" i="3"/>
  <c r="H79" i="3"/>
  <c r="E79" i="3"/>
  <c r="H78" i="3"/>
  <c r="H77" i="3"/>
  <c r="H76" i="3"/>
  <c r="H75" i="3"/>
  <c r="H74" i="3"/>
  <c r="H73" i="3"/>
  <c r="H72" i="3"/>
  <c r="H71" i="3"/>
  <c r="H70" i="3"/>
  <c r="E70" i="3"/>
  <c r="H69" i="3"/>
  <c r="E69" i="3"/>
  <c r="H68" i="3"/>
  <c r="E68" i="3"/>
  <c r="H67" i="3"/>
  <c r="E67" i="3"/>
  <c r="H66" i="3"/>
  <c r="E66" i="3"/>
  <c r="H65" i="3"/>
  <c r="E65" i="3"/>
  <c r="H64" i="3"/>
  <c r="E64" i="3"/>
  <c r="H63" i="3"/>
  <c r="E63" i="3"/>
  <c r="H62" i="3"/>
  <c r="E62" i="3"/>
  <c r="H61" i="3"/>
  <c r="E61" i="3"/>
  <c r="H60" i="3"/>
  <c r="E60" i="3"/>
  <c r="H59" i="3"/>
  <c r="E59" i="3"/>
  <c r="H58" i="3"/>
  <c r="E58" i="3"/>
  <c r="H57" i="3"/>
  <c r="E57" i="3"/>
  <c r="H56" i="3"/>
  <c r="E56" i="3"/>
  <c r="H55" i="3"/>
  <c r="E55" i="3"/>
  <c r="H54" i="3"/>
  <c r="E54" i="3"/>
  <c r="H53" i="3"/>
  <c r="E53" i="3"/>
  <c r="H52" i="3"/>
  <c r="E52" i="3"/>
  <c r="H51" i="3"/>
  <c r="E51" i="3"/>
  <c r="H50" i="3"/>
  <c r="E50" i="3"/>
  <c r="D47" i="3"/>
  <c r="H47" i="3"/>
  <c r="D46" i="3"/>
  <c r="E46" i="3"/>
  <c r="D45" i="3"/>
  <c r="D44" i="3"/>
  <c r="E44" i="3"/>
  <c r="H43" i="3"/>
  <c r="E43" i="3"/>
  <c r="H42" i="3"/>
  <c r="E42" i="3"/>
  <c r="H41" i="3"/>
  <c r="E41" i="3"/>
  <c r="H40" i="3"/>
  <c r="E40" i="3"/>
  <c r="H39" i="3"/>
  <c r="E39" i="3"/>
  <c r="H38" i="3"/>
  <c r="E38" i="3"/>
  <c r="H37" i="3"/>
  <c r="E37" i="3"/>
  <c r="H36" i="3"/>
  <c r="E36" i="3"/>
  <c r="H35" i="3"/>
  <c r="E35" i="3"/>
  <c r="H34" i="3"/>
  <c r="E34" i="3"/>
  <c r="H33" i="3"/>
  <c r="E33" i="3"/>
  <c r="H32" i="3"/>
  <c r="E32" i="3"/>
  <c r="H31" i="3"/>
  <c r="E31" i="3"/>
  <c r="H30" i="3"/>
  <c r="E30" i="3"/>
  <c r="H29" i="3"/>
  <c r="E29" i="3"/>
  <c r="H28" i="3"/>
  <c r="H27" i="3"/>
  <c r="E27" i="3"/>
  <c r="H26" i="3"/>
  <c r="E26" i="3"/>
  <c r="H25" i="3"/>
  <c r="H24" i="3"/>
  <c r="E24" i="3"/>
  <c r="H23" i="3"/>
  <c r="E23" i="3"/>
  <c r="H22" i="3"/>
  <c r="E22" i="3"/>
  <c r="H21" i="3"/>
  <c r="E21" i="3"/>
  <c r="H20" i="3"/>
  <c r="E20" i="3"/>
  <c r="H19" i="3"/>
  <c r="E19" i="3"/>
  <c r="H18" i="3"/>
  <c r="E18" i="3"/>
  <c r="H17" i="3"/>
  <c r="E17" i="3"/>
  <c r="H16" i="3"/>
  <c r="E16" i="3"/>
  <c r="H15" i="3"/>
  <c r="E15" i="3"/>
  <c r="H14" i="3"/>
  <c r="E14" i="3"/>
  <c r="H13" i="3"/>
  <c r="E13" i="3"/>
  <c r="H12" i="3"/>
  <c r="E12" i="3"/>
  <c r="H11" i="3"/>
  <c r="E11" i="3"/>
  <c r="E10" i="3"/>
  <c r="H9" i="3"/>
  <c r="E9" i="3"/>
  <c r="H8" i="3"/>
  <c r="E8" i="3"/>
  <c r="H7" i="3"/>
  <c r="E7" i="3"/>
  <c r="H6" i="3"/>
  <c r="E6" i="3"/>
  <c r="H5" i="3"/>
  <c r="E5" i="3"/>
  <c r="H4" i="3"/>
  <c r="E4" i="3"/>
  <c r="E92" i="3"/>
  <c r="H152" i="3"/>
  <c r="H45" i="3"/>
  <c r="H91" i="3"/>
  <c r="E91" i="3"/>
  <c r="H150" i="3"/>
  <c r="E47" i="3"/>
  <c r="E110" i="3"/>
  <c r="H93" i="3"/>
  <c r="H92" i="3"/>
  <c r="H46" i="3"/>
  <c r="H44" i="3"/>
  <c r="E45" i="3"/>
  <c r="H153" i="3"/>
</calcChain>
</file>

<file path=xl/sharedStrings.xml><?xml version="1.0" encoding="utf-8"?>
<sst xmlns="http://schemas.openxmlformats.org/spreadsheetml/2006/main" count="629" uniqueCount="440">
  <si>
    <t>Elekter</t>
  </si>
  <si>
    <t xml:space="preserve">Taastuvelekter </t>
  </si>
  <si>
    <t>HVO</t>
  </si>
  <si>
    <t>Masina tüüp</t>
  </si>
  <si>
    <t>Mudel</t>
  </si>
  <si>
    <t>Võimsus</t>
  </si>
  <si>
    <t>Kaal</t>
  </si>
  <si>
    <t>Stage</t>
  </si>
  <si>
    <t>Tunnis</t>
  </si>
  <si>
    <t>Kasutegur</t>
  </si>
  <si>
    <t>Tootlikus</t>
  </si>
  <si>
    <t>Raske kütteõli (kg)</t>
  </si>
  <si>
    <t>LPG</t>
  </si>
  <si>
    <t>Kogus</t>
  </si>
  <si>
    <t>Maht</t>
  </si>
  <si>
    <t>Masinad</t>
  </si>
  <si>
    <t>Ekskavaator</t>
  </si>
  <si>
    <t>Karjäärid</t>
  </si>
  <si>
    <t>Ratasekskavaator</t>
  </si>
  <si>
    <t>M314</t>
  </si>
  <si>
    <t>M316</t>
  </si>
  <si>
    <t>M318</t>
  </si>
  <si>
    <t>Kopplaadur</t>
  </si>
  <si>
    <t>Frontaallaadur</t>
  </si>
  <si>
    <t>Minilaadur</t>
  </si>
  <si>
    <t>226D</t>
  </si>
  <si>
    <t>272D</t>
  </si>
  <si>
    <t>270D</t>
  </si>
  <si>
    <t>Dumper</t>
  </si>
  <si>
    <t>Traktor kallur</t>
  </si>
  <si>
    <t>Kubota M6-111</t>
  </si>
  <si>
    <t>JCB FASTRAC 4220</t>
  </si>
  <si>
    <t>JCB FASTRAC 8330</t>
  </si>
  <si>
    <t>MF 6713</t>
  </si>
  <si>
    <t>MF 8735</t>
  </si>
  <si>
    <t>D1</t>
  </si>
  <si>
    <t>D2</t>
  </si>
  <si>
    <t>D3</t>
  </si>
  <si>
    <t>D4</t>
  </si>
  <si>
    <t>D5</t>
  </si>
  <si>
    <t>D6</t>
  </si>
  <si>
    <t>D7</t>
  </si>
  <si>
    <t>D8</t>
  </si>
  <si>
    <t>D9</t>
  </si>
  <si>
    <t>D10</t>
  </si>
  <si>
    <t>D11</t>
  </si>
  <si>
    <t>CP5</t>
  </si>
  <si>
    <t>CP7</t>
  </si>
  <si>
    <t>CS10</t>
  </si>
  <si>
    <t>CS11</t>
  </si>
  <si>
    <t>CS12</t>
  </si>
  <si>
    <t>CS14</t>
  </si>
  <si>
    <t>CS16</t>
  </si>
  <si>
    <t>CS19</t>
  </si>
  <si>
    <t>Frees</t>
  </si>
  <si>
    <t>PM310</t>
  </si>
  <si>
    <t>PM313</t>
  </si>
  <si>
    <t>PM620</t>
  </si>
  <si>
    <t>PM820</t>
  </si>
  <si>
    <t>RM822</t>
  </si>
  <si>
    <t>RM400</t>
  </si>
  <si>
    <t>RM500</t>
  </si>
  <si>
    <t>RM600</t>
  </si>
  <si>
    <t>RM800</t>
  </si>
  <si>
    <t>WR 240</t>
  </si>
  <si>
    <t>WR250</t>
  </si>
  <si>
    <t>WS250</t>
  </si>
  <si>
    <t>Tsemendi laoturid</t>
  </si>
  <si>
    <t>SW 10 TA</t>
  </si>
  <si>
    <t>SW 112 TC</t>
  </si>
  <si>
    <t>SW 218 TC</t>
  </si>
  <si>
    <t>Purusti</t>
  </si>
  <si>
    <t>Finlay C-1540</t>
  </si>
  <si>
    <t>Finlay C-1540RS</t>
  </si>
  <si>
    <t>Finlay C1554</t>
  </si>
  <si>
    <t>Finlay I-140</t>
  </si>
  <si>
    <t>Finlay J-1160</t>
  </si>
  <si>
    <t>Finlay J-1175 Hybrid</t>
  </si>
  <si>
    <t>Finlay J-1480</t>
  </si>
  <si>
    <t>McCloskey J40</t>
  </si>
  <si>
    <t>McCloskey J50</t>
  </si>
  <si>
    <t>Metso LT 96</t>
  </si>
  <si>
    <t>Metso LT 220</t>
  </si>
  <si>
    <t>Sõel</t>
  </si>
  <si>
    <t>Finlay 683</t>
  </si>
  <si>
    <t>Finlay 674</t>
  </si>
  <si>
    <t>Finlay 694</t>
  </si>
  <si>
    <t>Finlay 984</t>
  </si>
  <si>
    <t>PS Warrior 2100</t>
  </si>
  <si>
    <t>McCloskey R70</t>
  </si>
  <si>
    <t>McCloskey R155</t>
  </si>
  <si>
    <t>McCloskey R230</t>
  </si>
  <si>
    <t>McCloskey S130</t>
  </si>
  <si>
    <t>McCloskey S230</t>
  </si>
  <si>
    <t>Pumpamine/ pesemine</t>
  </si>
  <si>
    <t>ASP 14/12GG</t>
  </si>
  <si>
    <t>ASP 16/14GG</t>
  </si>
  <si>
    <t>ASP 16/14TU</t>
  </si>
  <si>
    <t>ASP 18/16GG</t>
  </si>
  <si>
    <t>Pesemine</t>
  </si>
  <si>
    <t>Fraccaroli&amp;Balzani FB 1500 4P-120</t>
  </si>
  <si>
    <t>Flokulant AN910MF (0.0001/1) 75kgCO2/kg</t>
  </si>
  <si>
    <t>Eelsöötja</t>
  </si>
  <si>
    <t>MT3000</t>
  </si>
  <si>
    <t xml:space="preserve">WR MT 3000-2i  </t>
  </si>
  <si>
    <t xml:space="preserve">Asf.laotur </t>
  </si>
  <si>
    <t>AP455</t>
  </si>
  <si>
    <t>AP655</t>
  </si>
  <si>
    <t>AP105</t>
  </si>
  <si>
    <t>0.9m</t>
  </si>
  <si>
    <t>1.33m</t>
  </si>
  <si>
    <t>2.5m</t>
  </si>
  <si>
    <t>2.55m</t>
  </si>
  <si>
    <t>3.0m</t>
  </si>
  <si>
    <t>Asf.rull</t>
  </si>
  <si>
    <t>HD8</t>
  </si>
  <si>
    <t>HD13</t>
  </si>
  <si>
    <t>HD+70</t>
  </si>
  <si>
    <t>HD+80</t>
  </si>
  <si>
    <t>HD+90</t>
  </si>
  <si>
    <t>HD+110</t>
  </si>
  <si>
    <t>HD+140</t>
  </si>
  <si>
    <t>Pneumorull</t>
  </si>
  <si>
    <t>HD18</t>
  </si>
  <si>
    <t>HD28</t>
  </si>
  <si>
    <t xml:space="preserve">DAF 75 </t>
  </si>
  <si>
    <t>Weiro TM800 SH</t>
  </si>
  <si>
    <t>Traktor</t>
  </si>
  <si>
    <t>Veealune liiv</t>
  </si>
  <si>
    <t>Pumbatud liiv</t>
  </si>
  <si>
    <t>Sõelutud liiv</t>
  </si>
  <si>
    <t>Pestud liiv</t>
  </si>
  <si>
    <t>Keskmine EU el.</t>
  </si>
  <si>
    <t>Veduk</t>
  </si>
  <si>
    <t>Ühik</t>
  </si>
  <si>
    <t>Autorong</t>
  </si>
  <si>
    <t>Täismass</t>
  </si>
  <si>
    <t>Euro</t>
  </si>
  <si>
    <t>Buldooser</t>
  </si>
  <si>
    <t>Greider</t>
  </si>
  <si>
    <t>Pinnasetihendaja</t>
  </si>
  <si>
    <t>Stabilisaator</t>
  </si>
  <si>
    <t>Gudronaator</t>
  </si>
  <si>
    <t>Materjalid</t>
  </si>
  <si>
    <t>Töötunnid</t>
  </si>
  <si>
    <t>Vibroplaat</t>
  </si>
  <si>
    <t>Wirtgen HM 4500</t>
  </si>
  <si>
    <t>Kuumuti</t>
  </si>
  <si>
    <t>Soojusvõimsus</t>
  </si>
  <si>
    <t>Remixer 4500</t>
  </si>
  <si>
    <t>Remixer</t>
  </si>
  <si>
    <t>KMA220</t>
  </si>
  <si>
    <t>KMA220i</t>
  </si>
  <si>
    <t>Külmsegur</t>
  </si>
  <si>
    <t>Lõpp temp</t>
  </si>
  <si>
    <t>Alg temp</t>
  </si>
  <si>
    <t>Kihi paksus</t>
  </si>
  <si>
    <t>Laius</t>
  </si>
  <si>
    <t>Pikkus</t>
  </si>
  <si>
    <t>m=</t>
  </si>
  <si>
    <t>Erisoojus asfalt=</t>
  </si>
  <si>
    <t>Asfalt tihedus=</t>
  </si>
  <si>
    <t>Vajalik soojus Q=</t>
  </si>
  <si>
    <t>gaasi kulu (kg)=</t>
  </si>
  <si>
    <t>Wirtgen HM 1500</t>
  </si>
  <si>
    <t>Remixer 1200</t>
  </si>
  <si>
    <t>Koorem</t>
  </si>
  <si>
    <t>kg</t>
  </si>
  <si>
    <t>Puurseade</t>
  </si>
  <si>
    <t>Lõhketööd</t>
  </si>
  <si>
    <t>Tardkivikillustik, fraktsineeritud</t>
  </si>
  <si>
    <t>Atlas Flexi ROC D50-10SF</t>
  </si>
  <si>
    <t>Atlas  ROC L6/25</t>
  </si>
  <si>
    <t>Atlas FlexiROC T45-11SF</t>
  </si>
  <si>
    <t>Atlas FlexiROC T35-11</t>
  </si>
  <si>
    <t>Atlas FlexiROC D55</t>
  </si>
  <si>
    <t>Sandvik DX700</t>
  </si>
  <si>
    <t>Sandvik DX 800</t>
  </si>
  <si>
    <t>Sandvik DI600</t>
  </si>
  <si>
    <t>KHG KKÕ</t>
  </si>
  <si>
    <t>KHG Bensiin</t>
  </si>
  <si>
    <t>KHG Diisli</t>
  </si>
  <si>
    <t xml:space="preserve">Transport </t>
  </si>
  <si>
    <t>Km</t>
  </si>
  <si>
    <t>Registrimass</t>
  </si>
  <si>
    <t>Malm</t>
  </si>
  <si>
    <t>Teras</t>
  </si>
  <si>
    <t>Betoonsegud</t>
  </si>
  <si>
    <t>Tardkivikillustik,ridamaterjal</t>
  </si>
  <si>
    <t>m³</t>
  </si>
  <si>
    <t>C -kalkulaator</t>
  </si>
  <si>
    <t xml:space="preserve">Betoonipump </t>
  </si>
  <si>
    <t>Pumi 25</t>
  </si>
  <si>
    <t>Pumi 28</t>
  </si>
  <si>
    <t>Putzmeister M56</t>
  </si>
  <si>
    <t>Nimetus</t>
  </si>
  <si>
    <t>Alumiinium (esmane)</t>
  </si>
  <si>
    <t>Vask</t>
  </si>
  <si>
    <t>Roostevaba metall</t>
  </si>
  <si>
    <t>Zn-teras</t>
  </si>
  <si>
    <t>Plasttooted</t>
  </si>
  <si>
    <t>Värvid</t>
  </si>
  <si>
    <t>Saematerjal (fossiilne)</t>
  </si>
  <si>
    <t>Saematerjal, immutatud</t>
  </si>
  <si>
    <t>Tardkivikillustik, purustatud</t>
  </si>
  <si>
    <t>Looduslik liiv</t>
  </si>
  <si>
    <t>Raudbetoontooted (kg)</t>
  </si>
  <si>
    <t>Metso ST2.875+100kw</t>
  </si>
  <si>
    <r>
      <t>Δ</t>
    </r>
    <r>
      <rPr>
        <sz val="10.199999999999999"/>
        <color theme="1"/>
        <rFont val="Arial"/>
        <family val="2"/>
        <charset val="186"/>
      </rPr>
      <t>T</t>
    </r>
    <r>
      <rPr>
        <sz val="12"/>
        <color theme="1"/>
        <rFont val="Arial"/>
        <family val="2"/>
        <charset val="186"/>
      </rPr>
      <t>=</t>
    </r>
  </si>
  <si>
    <r>
      <t>Q</t>
    </r>
    <r>
      <rPr>
        <vertAlign val="subscript"/>
        <sz val="12"/>
        <color theme="1"/>
        <rFont val="Arial"/>
        <family val="2"/>
        <charset val="186"/>
      </rPr>
      <t>gaas</t>
    </r>
    <r>
      <rPr>
        <sz val="12"/>
        <color theme="1"/>
        <rFont val="Arial"/>
        <family val="2"/>
        <charset val="186"/>
      </rPr>
      <t>=</t>
    </r>
  </si>
  <si>
    <t>LNG/Maagaas</t>
  </si>
  <si>
    <t>Põleti arvestus</t>
  </si>
  <si>
    <t>&gt;&gt;&gt;</t>
  </si>
  <si>
    <t>EPD</t>
  </si>
  <si>
    <t>GWP, kg/kg</t>
  </si>
  <si>
    <t>GWP</t>
  </si>
  <si>
    <t>AC bin</t>
  </si>
  <si>
    <t>SMA</t>
  </si>
  <si>
    <t>AC base</t>
  </si>
  <si>
    <t>AC surf</t>
  </si>
  <si>
    <t>MA</t>
  </si>
  <si>
    <t>PA</t>
  </si>
  <si>
    <t>Filler, peentäitematerjal</t>
  </si>
  <si>
    <t>Taaskasutus</t>
  </si>
  <si>
    <t>Kiviliiv</t>
  </si>
  <si>
    <t>Aheraine</t>
  </si>
  <si>
    <t>Koldetuhk</t>
  </si>
  <si>
    <t>Lendtuhk</t>
  </si>
  <si>
    <t>Geosünteedid</t>
  </si>
  <si>
    <t>Geotekstiil</t>
  </si>
  <si>
    <t>Bentoniitmatt</t>
  </si>
  <si>
    <t>Geovõrk, PP</t>
  </si>
  <si>
    <t>Geovõrk, PET</t>
  </si>
  <si>
    <t>Plastkiud, PP (kg)</t>
  </si>
  <si>
    <t xml:space="preserve">Terasvõrk </t>
  </si>
  <si>
    <t>Gr.sillutised &amp; äärekivid, Hiina (koos transpordiga)</t>
  </si>
  <si>
    <t>Gr.sillutised &amp; äärekivid Soome (ilma traspordita)</t>
  </si>
  <si>
    <t xml:space="preserve"> kg</t>
  </si>
  <si>
    <t>Kuivsegud</t>
  </si>
  <si>
    <t>Masintunnid</t>
  </si>
  <si>
    <t>Hind</t>
  </si>
  <si>
    <t>Kütused</t>
  </si>
  <si>
    <t>Maagaas</t>
  </si>
  <si>
    <t>Biogaas</t>
  </si>
  <si>
    <t>Biodiisel FAME</t>
  </si>
  <si>
    <t>L</t>
  </si>
  <si>
    <t>Biodiisel HVO</t>
  </si>
  <si>
    <t>Biodiisel ME</t>
  </si>
  <si>
    <t>Diisel</t>
  </si>
  <si>
    <t>Bensiin</t>
  </si>
  <si>
    <t>PKÕ</t>
  </si>
  <si>
    <t>kWh</t>
  </si>
  <si>
    <t>Asfaltsegud</t>
  </si>
  <si>
    <t>Asfalt materjalid</t>
  </si>
  <si>
    <t>Ter tihedus</t>
  </si>
  <si>
    <t>Tardkivikillustik, TAU10/20</t>
  </si>
  <si>
    <t>Tardkivikillustik, TAU 8/16</t>
  </si>
  <si>
    <t>Tardkivikillustik, TAU 6/12</t>
  </si>
  <si>
    <t>Tardkivikillustik, TAU 4/8</t>
  </si>
  <si>
    <t>Tardkivikillustik, TAU 2/6</t>
  </si>
  <si>
    <t>Tardkivikillustik, TAU 0/5</t>
  </si>
  <si>
    <t>Tardkivikillustik, INKOO 10/20</t>
  </si>
  <si>
    <t>Tardkivikillustik, INKOO 8/16</t>
  </si>
  <si>
    <t>Tardkivikillustik, INKOO 6/12</t>
  </si>
  <si>
    <t>Tardkivikillustik, INKOO 4/8</t>
  </si>
  <si>
    <t>Tardkivikillustik, INKOO 2/6</t>
  </si>
  <si>
    <t>Tardkivikillustik, INKOO 0/5</t>
  </si>
  <si>
    <t>Pae, 16/32</t>
  </si>
  <si>
    <t>Pae, 8/16</t>
  </si>
  <si>
    <t>Pae, 8/12</t>
  </si>
  <si>
    <t>Pae, 4/16</t>
  </si>
  <si>
    <t>Pae, 4/12</t>
  </si>
  <si>
    <t>Pae, 4/8</t>
  </si>
  <si>
    <t>Pae, 0/5</t>
  </si>
  <si>
    <t>Paekivi, fraktsioneeritud</t>
  </si>
  <si>
    <t>Paekivi, fraktsioneerimata</t>
  </si>
  <si>
    <t>Liivad ja kruusad</t>
  </si>
  <si>
    <t>1 karj._liiv</t>
  </si>
  <si>
    <t>2 karj._liiv</t>
  </si>
  <si>
    <t>Prustatud kruus</t>
  </si>
  <si>
    <t>Kruusliiv_1</t>
  </si>
  <si>
    <t>Kruusliiv_2</t>
  </si>
  <si>
    <t>Kruusliiv_3</t>
  </si>
  <si>
    <t>Pinnas</t>
  </si>
  <si>
    <t>Bituumen</t>
  </si>
  <si>
    <t>Filler</t>
  </si>
  <si>
    <t>RA 0/12</t>
  </si>
  <si>
    <t>RA 0/8</t>
  </si>
  <si>
    <t>CFB</t>
  </si>
  <si>
    <t>RA objektil</t>
  </si>
  <si>
    <t>Tsement, Kunda CEM I 42.5R</t>
  </si>
  <si>
    <t>Tsement, Kunda CEM I 52.5R</t>
  </si>
  <si>
    <t>Portland tsement, CEM I 42,5 R ja 52,5 N, Läti</t>
  </si>
  <si>
    <t>TAS 32.5</t>
  </si>
  <si>
    <t>Bit 70/100</t>
  </si>
  <si>
    <t>Bit 100/150</t>
  </si>
  <si>
    <t>Bit 150/200</t>
  </si>
  <si>
    <t>PMB</t>
  </si>
  <si>
    <t>BE 65%</t>
  </si>
  <si>
    <t>Drenaažmatt (geokärg)</t>
  </si>
  <si>
    <t>Kookosmatt</t>
  </si>
  <si>
    <t>Betoon C16/20</t>
  </si>
  <si>
    <t>Betoon C16/20 (kg)</t>
  </si>
  <si>
    <t>Betoon, C20/25</t>
  </si>
  <si>
    <t>Betoon, C20/25 (kg)</t>
  </si>
  <si>
    <t>Betoon, C25/30</t>
  </si>
  <si>
    <t>Betoon, C25/30 (kg)</t>
  </si>
  <si>
    <t>Betoon, C30/37</t>
  </si>
  <si>
    <t>Betoon, C30/37 (kg)</t>
  </si>
  <si>
    <t>Betoon, C35/45</t>
  </si>
  <si>
    <t>betoon, C35/45 (kg)</t>
  </si>
  <si>
    <t>Betoon, C45/55</t>
  </si>
  <si>
    <t>Betoon, C45/55 (kg)</t>
  </si>
  <si>
    <t>Betoon, C50/60</t>
  </si>
  <si>
    <t>Betoon, C50/60 (kg)</t>
  </si>
  <si>
    <t>Munakivid</t>
  </si>
  <si>
    <t xml:space="preserve">Eelnevalt täidetud andmed </t>
  </si>
  <si>
    <t>Sideained</t>
  </si>
  <si>
    <t>Käru</t>
  </si>
  <si>
    <t>GWP %</t>
  </si>
  <si>
    <t>Lume sahk</t>
  </si>
  <si>
    <t>Purukruus transport</t>
  </si>
  <si>
    <t>Sool</t>
  </si>
  <si>
    <t>Tee tüüp</t>
  </si>
  <si>
    <t>Sahkamiskordi kuus</t>
  </si>
  <si>
    <t>Talveperiood</t>
  </si>
  <si>
    <t>Läbimised ühe korra kohta</t>
  </si>
  <si>
    <t>Läbisõit</t>
  </si>
  <si>
    <t>1+1 tee, vähene talv</t>
  </si>
  <si>
    <t>3 kuud</t>
  </si>
  <si>
    <t>10 × 15 × 2</t>
  </si>
  <si>
    <t>300 km</t>
  </si>
  <si>
    <t>1+1 tee, baasnäide</t>
  </si>
  <si>
    <t>10 × 30 × 2</t>
  </si>
  <si>
    <t>600 km</t>
  </si>
  <si>
    <t>1+1 tee, lumerohke talv</t>
  </si>
  <si>
    <t>10 × 45 × 2</t>
  </si>
  <si>
    <t>900 km</t>
  </si>
  <si>
    <t>2+2 tee, vähene talv</t>
  </si>
  <si>
    <t>10 × 15 × 6</t>
  </si>
  <si>
    <t>2+2 tee, baasnäide</t>
  </si>
  <si>
    <t>10 × 30 × 6</t>
  </si>
  <si>
    <t>1 800 km</t>
  </si>
  <si>
    <t>2+2 tee, lumerohke talv</t>
  </si>
  <si>
    <t>10 × 45 × 6</t>
  </si>
  <si>
    <t>2 700 km</t>
  </si>
  <si>
    <t>Sahkamise arvutus</t>
  </si>
  <si>
    <t>Soolamiskordi</t>
  </si>
  <si>
    <t>Soola arvutus</t>
  </si>
  <si>
    <t>Soola kogus</t>
  </si>
  <si>
    <t>7,5</t>
  </si>
  <si>
    <t>10 × 2 × 50 × 7,5</t>
  </si>
  <si>
    <t>10 × 2 × 50 × 15</t>
  </si>
  <si>
    <t>22,5</t>
  </si>
  <si>
    <t>10 × 2 × 50 × 22,5</t>
  </si>
  <si>
    <t>10 × 4 × 50 × 7,5 × 1,2</t>
  </si>
  <si>
    <t>10 × 4 × 50 × 15 × 1,2</t>
  </si>
  <si>
    <t>10 × 4 × 50 × 22,5 × 1,2</t>
  </si>
  <si>
    <t>Kruusatee 1+1</t>
  </si>
  <si>
    <t>Hoolduse C-kalkulaator</t>
  </si>
  <si>
    <t>ÜLDISED SISENDID</t>
  </si>
  <si>
    <t>Väärtus</t>
  </si>
  <si>
    <t>Märkus</t>
  </si>
  <si>
    <t>Teelõigu pikkus</t>
  </si>
  <si>
    <t>km</t>
  </si>
  <si>
    <t>kuud</t>
  </si>
  <si>
    <t>Detsember-veebruar</t>
  </si>
  <si>
    <t>t CO₂e/km</t>
  </si>
  <si>
    <t>Asfaltkate 1+1</t>
  </si>
  <si>
    <t>kg CO₂e/kg</t>
  </si>
  <si>
    <t>Asfaltkate 2+2</t>
  </si>
  <si>
    <t>Soola puistenorm</t>
  </si>
  <si>
    <t>Soolamise osakaal</t>
  </si>
  <si>
    <t>osakaal</t>
  </si>
  <si>
    <t>SELGITUS</t>
  </si>
  <si>
    <t>aastat</t>
  </si>
  <si>
    <t>Kruusa kogus</t>
  </si>
  <si>
    <t>t</t>
  </si>
  <si>
    <t>t CO₂e</t>
  </si>
  <si>
    <t>Tolmutõrje sool</t>
  </si>
  <si>
    <t>STSENAARIUMID</t>
  </si>
  <si>
    <t>Kordi</t>
  </si>
  <si>
    <t>Läbimised</t>
  </si>
  <si>
    <t>Sõidurajad</t>
  </si>
  <si>
    <t>Soola osakaal</t>
  </si>
  <si>
    <t>Eelpuiste koef</t>
  </si>
  <si>
    <t>1+1</t>
  </si>
  <si>
    <t>2+2</t>
  </si>
  <si>
    <t>Stsenaarium</t>
  </si>
  <si>
    <t>Läbisõit, km/a</t>
  </si>
  <si>
    <t>Saha GWP, t CO₂e/a</t>
  </si>
  <si>
    <t>Talvine sool, t/a</t>
  </si>
  <si>
    <t>Talvise soola GWP, t CO₂e/a</t>
  </si>
  <si>
    <t>Kruusa kogus, t/kord</t>
  </si>
  <si>
    <t>Suvine kruusahooldus, t CO₂e/a</t>
  </si>
  <si>
    <t>Tolmutõrje sool, t/a</t>
  </si>
  <si>
    <t>Tolmutõrje soola GWP, t CO₂e/a</t>
  </si>
  <si>
    <t>Võrdlus 10 km</t>
  </si>
  <si>
    <t>kg/km/rada</t>
  </si>
  <si>
    <t>Kruusa GWP</t>
  </si>
  <si>
    <t>Kruus GWP</t>
  </si>
  <si>
    <t>Sool GWP</t>
  </si>
  <si>
    <t>Talvine sahkamine</t>
  </si>
  <si>
    <t>Transport kruus</t>
  </si>
  <si>
    <t>Masin kruus</t>
  </si>
  <si>
    <t>Aastane mõju</t>
  </si>
  <si>
    <t>Taastamise heide</t>
  </si>
  <si>
    <t>Arvutusest</t>
  </si>
  <si>
    <t>Lihtsustatud</t>
  </si>
  <si>
    <t>Nt 0,5 = 50% sahkamisest</t>
  </si>
  <si>
    <t>Greider + tihendamine</t>
  </si>
  <si>
    <t>Kruusa vedu</t>
  </si>
  <si>
    <t>Kulumiskihi heide</t>
  </si>
  <si>
    <t>Asfalt 1+1 kestvus</t>
  </si>
  <si>
    <t>Asfalt 2+2 kestvus</t>
  </si>
  <si>
    <t>Kruusa 1+1 kestvus</t>
  </si>
  <si>
    <t>Taastamise laius</t>
  </si>
  <si>
    <t>Hooldus</t>
  </si>
  <si>
    <t>Taastus</t>
  </si>
  <si>
    <t>HOOLDUSE STSENAARIUMID</t>
  </si>
  <si>
    <t>AASTANE HOOLDUSE MÕJU</t>
  </si>
  <si>
    <t>PERIOODILINE KULUMISKIHI UUENDAMINE / KUUMTAASTAMINE</t>
  </si>
  <si>
    <t>KOONDTULEMUS: HOOLDUS + KUUMTAASTAMINE</t>
  </si>
  <si>
    <t>Rooparemix</t>
  </si>
  <si>
    <t>AKA</t>
  </si>
  <si>
    <t>Kruus 12cm</t>
  </si>
  <si>
    <t>Taastamise heide:</t>
  </si>
  <si>
    <t>Asfaltkate 2+2 (roobas)</t>
  </si>
  <si>
    <t>Remix</t>
  </si>
  <si>
    <t>Asfaltkate 2+2 (rada remix)</t>
  </si>
  <si>
    <t>Kruusahoolduse välp</t>
  </si>
  <si>
    <t>Tolmutõrje välp</t>
  </si>
  <si>
    <t>Asfaltkate 1+1 (roobas)</t>
  </si>
  <si>
    <t>Asfaltkate 1+1 (rada remix)</t>
  </si>
  <si>
    <t>Aastane mõju kokku, t CO₂e/a</t>
  </si>
  <si>
    <t>Periood</t>
  </si>
  <si>
    <t>Aastase mõju võrdlus</t>
  </si>
  <si>
    <t>Kokkuvõttes tuleb eristada tavapärast iga-aastast hooldust ja perioodilist kulumiskihi uuendamist ehk kuumtaastamist. Hoolduse mõju sisaldab talvist lumelükkamist, asfaltkattega teedel talvist soolapuistet, kruusateel suvist kruusahooldust ning tolmutõrje soola. Kruusateele talvel soola ei laotata.
Kuumtaastamise plokk ei kirjelda täielikku katte vahetust. Asfaltkatte puhul on tegemist kuumtaastamisega, mille käigus uuendatakse katte ülemist osa ning lisatava segu kogus on oluliselt väiksem kui täielikul katte asendamisel. Arvutuses kasutatakse kuumtaastamise mõju ühikuna kg CO₂e/m², mis teisendatakse taastatava laiuse abil ühikuks kg CO₂e/m ning jagatakse arvestusperioodiga aastaseks mõjuks.
2+2 asfaltkatte puhul ei käsitleta rooparemixi ja sõiduraja remixi kahe sõltumatu tegevusena. Näites kasutatakse 21-aastast kuumtaastamise tsüklit, mille jooksul tehakse kaks rooparemixi ja üks sõiduraja remix. Sellisel juhul leitakse aastane mõju kogu tsükli mõju jagamisel 21 aastaga.
Võrdluse tulemus sõltub olulisel määral arvestusperioodist, taastatavast laiusest ja valitud taastamismeetodist. Suurem ühikuline heide ei pruugi anda suuremat aastast mõju, kui töö kordub harvem või jaotub pikemale perioodile.
Tulemuste tõlgendamisel on oluline kontrollida, kas taastatav laius kirjeldab ühte sõidurada, ühte sõidusuunda või kogu hooldatavat sõidutee osa. Kui 2+2 teel taastatakse korraga suurem laius kui tabelis eeldatud, suureneb ka kuumtaastamise aastane mõju. Seetõttu on tabel mõeldud stsenaariumide võrdlemiseks ja sisendite tundlikkuse testimiseks, mitte universaalseks normväärtuseks.</t>
  </si>
  <si>
    <t>Ühe jooksva meetri võrdlus</t>
  </si>
  <si>
    <t>Soola puiste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</si>
</sst>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6">
    <numFmt numFmtId="164" formatCode="0&quot; kwh =&quot;"/>
    <numFmt numFmtId="165" formatCode="0.00&quot; MJ&quot;"/>
    <numFmt numFmtId="166" formatCode="&quot;Euro &quot;0"/>
    <numFmt numFmtId="167" formatCode="#,##0.00&quot; kg/CO2&quot;"/>
    <numFmt numFmtId="168" formatCode="#,##0.00&quot; MJ/l&quot;"/>
    <numFmt numFmtId="169" formatCode="0.00&quot; MJ/kg&quot;"/>
    <numFmt numFmtId="170" formatCode="0.00&quot; Kwh/kg&quot;"/>
    <numFmt numFmtId="171" formatCode="#,##0.0&quot; kg CO₂e/l&quot;"/>
    <numFmt numFmtId="172" formatCode="0.00000"/>
    <numFmt numFmtId="173" formatCode="#,##0.00&quot; kg CO₂e/m³&quot;"/>
    <numFmt numFmtId="174" formatCode="#,##0.000&quot; kg CO₂e/kWh&quot;"/>
    <numFmt numFmtId="175" formatCode="#,##0.0000&quot; kg CO₂e/l&quot;"/>
    <numFmt numFmtId="176" formatCode="0.0"/>
    <numFmt numFmtId="177" formatCode="#,##0&quot; km&quot;"/>
    <numFmt numFmtId="178" formatCode="#,##0&quot; kW&quot;"/>
    <numFmt numFmtId="179" formatCode="0.00&quot; t&quot;"/>
    <numFmt numFmtId="180" formatCode="#,##0.0&quot; kg CO₂e/h&quot;"/>
    <numFmt numFmtId="181" formatCode="#,##0&quot; t&quot;"/>
    <numFmt numFmtId="182" formatCode="#,##0.000&quot; kg CO₂e/l&quot;"/>
    <numFmt numFmtId="183" formatCode="#,##0.0&quot; t&quot;"/>
    <numFmt numFmtId="184" formatCode="#,##0&quot; t/h&quot;"/>
    <numFmt numFmtId="185" formatCode="#,##0&quot; kg/h&quot;"/>
    <numFmt numFmtId="186" formatCode="#,##0&quot; m³/h&quot;"/>
    <numFmt numFmtId="187" formatCode="#,##0&quot; h&quot;"/>
    <numFmt numFmtId="188" formatCode="#,##0.0"/>
    <numFmt numFmtId="189" formatCode="&quot;Stage &quot;0"/>
    <numFmt numFmtId="190" formatCode="0.0&quot; t&quot;"/>
    <numFmt numFmtId="191" formatCode="#,##0.0&quot; m³&quot;"/>
    <numFmt numFmtId="192" formatCode="0&quot;kW&quot;"/>
    <numFmt numFmtId="193" formatCode="#,##0.00&quot; kg CO₂e/l&quot;"/>
    <numFmt numFmtId="194" formatCode="#,##0.00&quot; m³&quot;"/>
    <numFmt numFmtId="195" formatCode="#,##0&quot; m²/h&quot;"/>
    <numFmt numFmtId="196" formatCode="#,##0.0&quot; m&quot;"/>
    <numFmt numFmtId="197" formatCode="0.000000"/>
    <numFmt numFmtId="198" formatCode="#,##0.0&quot; kg CO₂e,/h&quot;"/>
    <numFmt numFmtId="199" formatCode="#,##0&quot; m³&quot;"/>
    <numFmt numFmtId="200" formatCode="#,##0.0&quot; l/h&quot;"/>
    <numFmt numFmtId="201" formatCode="#,##0.0&quot; t/h&quot;"/>
    <numFmt numFmtId="202" formatCode="#,##0.000&quot; t/h&quot;"/>
    <numFmt numFmtId="203" formatCode="#,##0.0&quot; m²&quot;"/>
    <numFmt numFmtId="204" formatCode="#,##0.0000&quot; kg CO₂e/kWh&quot;"/>
    <numFmt numFmtId="205" formatCode="#,##0.00&quot; kg CO₂e/kWh&quot;"/>
    <numFmt numFmtId="206" formatCode="#,##0.000&quot; kg/l&quot;"/>
    <numFmt numFmtId="207" formatCode="#,##0&quot; kw&quot;"/>
    <numFmt numFmtId="208" formatCode="#,##0.00&quot; kg CO₂e/kg&quot;"/>
    <numFmt numFmtId="209" formatCode="#,##0.00&quot; t&quot;"/>
    <numFmt numFmtId="210" formatCode="#,##0.0&quot; h&quot;"/>
    <numFmt numFmtId="211" formatCode="#,##0.000&quot; t CO₂&quot;"/>
    <numFmt numFmtId="212" formatCode="#,##0&quot; kg CO₂, kg&quot;"/>
    <numFmt numFmtId="213" formatCode="#,##0.0&quot; t CO₂&quot;"/>
    <numFmt numFmtId="214" formatCode="&quot;S &quot;0"/>
    <numFmt numFmtId="215" formatCode="0&quot; C&quot;"/>
    <numFmt numFmtId="216" formatCode="0&quot; m&quot;"/>
    <numFmt numFmtId="217" formatCode="0.0&quot; m&quot;"/>
    <numFmt numFmtId="218" formatCode="0.000&quot; m&quot;"/>
    <numFmt numFmtId="219" formatCode="0.00&quot; t/m³&quot;"/>
    <numFmt numFmtId="220" formatCode="0.00&quot; kJ/kgK&quot;"/>
    <numFmt numFmtId="221" formatCode="#,##0.00&quot; MJ&quot;"/>
    <numFmt numFmtId="222" formatCode="#,##0.000&quot; kg&quot;"/>
    <numFmt numFmtId="223" formatCode="#,##0&quot; m/min&quot;"/>
    <numFmt numFmtId="224" formatCode="#,##0&quot; m/h&quot;"/>
    <numFmt numFmtId="225" formatCode="#,##0.000&quot; kg/m²&quot;"/>
    <numFmt numFmtId="226" formatCode="#,##0.00&quot; t CO₂&quot;"/>
    <numFmt numFmtId="227" formatCode="0&quot; kw&quot;"/>
    <numFmt numFmtId="228" formatCode="#,##0.000&quot; kg CO₂, kg&quot;"/>
    <numFmt numFmtId="229" formatCode="#,##0&quot; L&quot;"/>
    <numFmt numFmtId="230" formatCode="#,##0.000"/>
    <numFmt numFmtId="231" formatCode="#,##0&quot; L/h&quot;"/>
    <numFmt numFmtId="232" formatCode="#,##0.0&quot; L/h&quot;"/>
    <numFmt numFmtId="233" formatCode="#,##0.0&quot; L/100km&quot;"/>
    <numFmt numFmtId="234" formatCode="#,##0.00&quot; Mg/m³&quot;"/>
    <numFmt numFmtId="235" formatCode="#,##0.00&quot; %&quot;"/>
    <numFmt numFmtId="236" formatCode="0.000"/>
    <numFmt numFmtId="237" formatCode="#,##0.00&quot; km&quot;"/>
    <numFmt numFmtId="238" formatCode="#,##0&quot; cm&quot;"/>
    <numFmt numFmtId="239" formatCode="#,##0.0000"/>
    <numFmt numFmtId="240" formatCode="#,##0.00&quot; kg CO₂e/cm&quot;"/>
    <numFmt numFmtId="241" formatCode="#,##0.00&quot; kg CO₂e/km&quot;"/>
    <numFmt numFmtId="242" formatCode="#,##0.0000000&quot; L&quot;"/>
    <numFmt numFmtId="243" formatCode="#,##0.0&quot; t CO₂e/a&quot;"/>
    <numFmt numFmtId="244" formatCode="#,##0.0&quot; kg CO₂e/m&quot;"/>
    <numFmt numFmtId="245" formatCode="#,##0&quot; aastat&quot;"/>
    <numFmt numFmtId="246" formatCode="0.00&quot; kg/m²&quot;"/>
    <numFmt numFmtId="247" formatCode="0&quot; kg/m²&quot;"/>
    <numFmt numFmtId="248" formatCode="#,##0.00&quot; kg CO₂e/m²&quot;"/>
    <numFmt numFmtId="249" formatCode="#,##0.00&quot; t CO₂e/m²&quot;"/>
  </numFmts>
  <fonts count="47">
    <font>
      <sz val="11"/>
      <color theme="1"/>
      <name val="Aptos Narrow"/>
      <family val="2"/>
      <scheme val="minor"/>
    </font>
    <font>
      <sz val="11"/>
      <color theme="1"/>
      <name val="Aptos Narrow"/>
      <family val="2"/>
      <charset val="186"/>
      <scheme val="minor"/>
    </font>
    <font>
      <sz val="11"/>
      <color theme="1"/>
      <name val="Aptos Narrow"/>
      <family val="2"/>
      <charset val="186"/>
      <scheme val="minor"/>
    </font>
    <font>
      <sz val="11"/>
      <color theme="1"/>
      <name val="Aptos Narrow"/>
      <family val="2"/>
      <charset val="186"/>
      <scheme val="minor"/>
    </font>
    <font>
      <sz val="11"/>
      <color theme="1"/>
      <name val="Aptos Narrow"/>
      <family val="2"/>
      <charset val="186"/>
      <scheme val="minor"/>
    </font>
    <font>
      <sz val="11"/>
      <color theme="1"/>
      <name val="Aptos Narrow"/>
      <family val="2"/>
      <charset val="186"/>
      <scheme val="minor"/>
    </font>
    <font>
      <sz val="8"/>
      <name val="Aptos Narrow"/>
      <family val="2"/>
      <scheme val="minor"/>
    </font>
    <font>
      <sz val="11"/>
      <color theme="1"/>
      <name val="Aptos Narrow"/>
      <family val="2"/>
      <scheme val="minor"/>
    </font>
    <font>
      <sz val="10"/>
      <name val="Arial"/>
      <family val="2"/>
      <charset val="186"/>
    </font>
    <font>
      <sz val="11"/>
      <name val="Arial"/>
      <family val="2"/>
      <charset val="186"/>
    </font>
    <font>
      <b/>
      <sz val="11"/>
      <name val="Arial"/>
      <family val="2"/>
      <charset val="186"/>
    </font>
    <font>
      <sz val="11"/>
      <color theme="1"/>
      <name val="Arial"/>
      <family val="2"/>
      <charset val="186"/>
    </font>
    <font>
      <sz val="11"/>
      <color rgb="FF0070C0"/>
      <name val="Arial"/>
      <family val="2"/>
      <charset val="186"/>
    </font>
    <font>
      <sz val="12"/>
      <color theme="1"/>
      <name val="Arial"/>
      <family val="2"/>
      <charset val="186"/>
    </font>
    <font>
      <b/>
      <sz val="11"/>
      <color theme="1"/>
      <name val="Arial"/>
      <family val="2"/>
      <charset val="186"/>
    </font>
    <font>
      <sz val="12"/>
      <name val="Arial"/>
      <family val="2"/>
      <charset val="186"/>
    </font>
    <font>
      <sz val="11"/>
      <color rgb="FFFF0000"/>
      <name val="Arial"/>
      <family val="2"/>
      <charset val="186"/>
    </font>
    <font>
      <b/>
      <sz val="12"/>
      <color theme="1"/>
      <name val="Arial"/>
      <family val="2"/>
      <charset val="186"/>
    </font>
    <font>
      <b/>
      <i/>
      <sz val="12"/>
      <color theme="1"/>
      <name val="Arial"/>
      <family val="2"/>
      <charset val="186"/>
    </font>
    <font>
      <sz val="12"/>
      <color rgb="FF0070C0"/>
      <name val="Arial"/>
      <family val="2"/>
      <charset val="186"/>
    </font>
    <font>
      <sz val="12"/>
      <color rgb="FFFF0000"/>
      <name val="Arial"/>
      <family val="2"/>
      <charset val="186"/>
    </font>
    <font>
      <b/>
      <sz val="12"/>
      <name val="Arial"/>
      <family val="2"/>
      <charset val="186"/>
    </font>
    <font>
      <sz val="12"/>
      <color rgb="FFEE0000"/>
      <name val="Arial"/>
      <family val="2"/>
      <charset val="186"/>
    </font>
    <font>
      <sz val="10.199999999999999"/>
      <color theme="1"/>
      <name val="Arial"/>
      <family val="2"/>
      <charset val="186"/>
    </font>
    <font>
      <vertAlign val="subscript"/>
      <sz val="12"/>
      <color theme="1"/>
      <name val="Arial"/>
      <family val="2"/>
      <charset val="186"/>
    </font>
    <font>
      <b/>
      <sz val="18"/>
      <color theme="1"/>
      <name val="Arial"/>
      <family val="2"/>
      <charset val="186"/>
    </font>
    <font>
      <b/>
      <sz val="12"/>
      <color rgb="FFFF0000"/>
      <name val="Arial"/>
      <family val="2"/>
      <charset val="186"/>
    </font>
    <font>
      <b/>
      <sz val="16"/>
      <color rgb="FFFF0000"/>
      <name val="Arial"/>
      <family val="2"/>
      <charset val="186"/>
    </font>
    <font>
      <i/>
      <sz val="12"/>
      <color theme="1"/>
      <name val="Arial"/>
      <family val="2"/>
      <charset val="186"/>
    </font>
    <font>
      <b/>
      <sz val="12"/>
      <color theme="0" tint="-0.249977111117893"/>
      <name val="Arial"/>
      <family val="2"/>
      <charset val="186"/>
    </font>
    <font>
      <sz val="12"/>
      <color theme="0" tint="-0.249977111117893"/>
      <name val="Arial"/>
      <family val="2"/>
      <charset val="186"/>
    </font>
    <font>
      <b/>
      <sz val="11"/>
      <name val="Myriad Pro"/>
      <family val="2"/>
    </font>
    <font>
      <sz val="11"/>
      <name val="Myriad Pro"/>
      <family val="2"/>
    </font>
    <font>
      <b/>
      <i/>
      <sz val="12"/>
      <name val="Arial"/>
      <family val="2"/>
      <charset val="186"/>
    </font>
    <font>
      <b/>
      <sz val="11"/>
      <color rgb="FFFF0000"/>
      <name val="Arial"/>
      <family val="2"/>
      <charset val="186"/>
    </font>
    <font>
      <b/>
      <sz val="10"/>
      <name val="Times New Roman"/>
      <family val="1"/>
      <charset val="186"/>
    </font>
    <font>
      <sz val="10"/>
      <name val="Times New Roman"/>
      <family val="1"/>
      <charset val="186"/>
    </font>
    <font>
      <sz val="11"/>
      <color rgb="FFFF0000"/>
      <name val="Myriad Pro"/>
      <family val="2"/>
      <charset val="186"/>
    </font>
    <font>
      <sz val="10"/>
      <name val="Arial"/>
      <charset val="186"/>
    </font>
    <font>
      <b/>
      <sz val="13.5"/>
      <color theme="1"/>
      <name val="Aptos Narrow"/>
      <family val="2"/>
      <scheme val="minor"/>
    </font>
    <font>
      <b/>
      <sz val="11"/>
      <color theme="1"/>
      <name val="Aptos Narrow"/>
      <family val="2"/>
      <scheme val="minor"/>
    </font>
    <font>
      <sz val="11"/>
      <name val="Carlito"/>
    </font>
    <font>
      <sz val="10"/>
      <color rgb="FF111827"/>
      <name val="Times New Roman"/>
      <family val="1"/>
      <charset val="186"/>
    </font>
    <font>
      <b/>
      <sz val="10"/>
      <color rgb="FF1F2937"/>
      <name val="Times New Roman"/>
      <family val="1"/>
      <charset val="186"/>
    </font>
    <font>
      <sz val="10"/>
      <color theme="1"/>
      <name val="Times New Roman"/>
      <family val="1"/>
      <charset val="186"/>
    </font>
    <font>
      <b/>
      <sz val="10"/>
      <color theme="1"/>
      <name val="Times New Roman"/>
      <family val="1"/>
      <charset val="186"/>
    </font>
    <font>
      <b/>
      <sz val="14"/>
      <color rgb="FF1F2937"/>
      <name val="Times New Roman"/>
      <family val="1"/>
      <charset val="186"/>
    </font>
  </fonts>
  <fills count="12">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E7F0EA"/>
      </patternFill>
    </fill>
    <fill>
      <patternFill patternType="solid">
        <fgColor rgb="FFDDEFE5"/>
      </patternFill>
    </fill>
    <fill>
      <patternFill patternType="solid">
        <fgColor rgb="FFFFF2CC"/>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bottom style="thin">
        <color auto="1"/>
      </bottom>
      <diagonal/>
    </border>
    <border>
      <left style="medium">
        <color auto="1"/>
      </left>
      <right style="thin">
        <color auto="1"/>
      </right>
      <top/>
      <bottom style="thin">
        <color auto="1"/>
      </bottom>
      <diagonal/>
    </border>
    <border>
      <left style="medium">
        <color indexed="64"/>
      </left>
      <right style="medium">
        <color indexed="64"/>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indexed="64"/>
      </left>
      <right style="medium">
        <color indexed="64"/>
      </right>
      <top style="thin">
        <color auto="1"/>
      </top>
      <bottom style="medium">
        <color indexed="64"/>
      </bottom>
      <diagonal/>
    </border>
    <border>
      <left style="medium">
        <color auto="1"/>
      </left>
      <right style="thin">
        <color auto="1"/>
      </right>
      <top/>
      <bottom/>
      <diagonal/>
    </border>
    <border>
      <left style="thin">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medium">
        <color indexed="64"/>
      </left>
      <right style="medium">
        <color indexed="64"/>
      </right>
      <top style="medium">
        <color indexed="64"/>
      </top>
      <bottom style="thin">
        <color auto="1"/>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auto="1"/>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rgb="FFCBD5E1"/>
      </left>
      <right/>
      <top style="thin">
        <color rgb="FFCBD5E1"/>
      </top>
      <bottom style="thin">
        <color rgb="FFCBD5E1"/>
      </bottom>
      <diagonal/>
    </border>
    <border>
      <left/>
      <right/>
      <top style="thin">
        <color rgb="FFCBD5E1"/>
      </top>
      <bottom style="thin">
        <color rgb="FFCBD5E1"/>
      </bottom>
      <diagonal/>
    </border>
    <border>
      <left/>
      <right style="thin">
        <color rgb="FFCBD5E1"/>
      </right>
      <top style="thin">
        <color rgb="FFCBD5E1"/>
      </top>
      <bottom style="thin">
        <color rgb="FFCBD5E1"/>
      </bottom>
      <diagonal/>
    </border>
    <border>
      <left/>
      <right style="thin">
        <color rgb="FFE5E7EB"/>
      </right>
      <top/>
      <bottom style="thin">
        <color rgb="FFE5E7EB"/>
      </bottom>
      <diagonal/>
    </border>
    <border>
      <left style="thin">
        <color rgb="FFE5E7EB"/>
      </left>
      <right style="thin">
        <color rgb="FFE5E7EB"/>
      </right>
      <top/>
      <bottom style="thin">
        <color rgb="FFE5E7EB"/>
      </bottom>
      <diagonal/>
    </border>
    <border>
      <left style="thin">
        <color rgb="FFE5E7EB"/>
      </left>
      <right/>
      <top/>
      <bottom style="thin">
        <color rgb="FFE5E7EB"/>
      </bottom>
      <diagonal/>
    </border>
    <border>
      <left/>
      <right style="thin">
        <color rgb="FFE5E7EB"/>
      </right>
      <top style="thin">
        <color rgb="FFE5E7EB"/>
      </top>
      <bottom style="thin">
        <color rgb="FFE5E7EB"/>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right style="thin">
        <color rgb="FFE5E7EB"/>
      </right>
      <top style="thin">
        <color rgb="FFE5E7EB"/>
      </top>
      <bottom/>
      <diagonal/>
    </border>
    <border>
      <left style="thin">
        <color rgb="FFE5E7EB"/>
      </left>
      <right style="thin">
        <color rgb="FFE5E7EB"/>
      </right>
      <top style="thin">
        <color rgb="FFE5E7EB"/>
      </top>
      <bottom/>
      <diagonal/>
    </border>
    <border>
      <left style="thin">
        <color rgb="FFE5E7EB"/>
      </left>
      <right/>
      <top style="thin">
        <color rgb="FFE5E7EB"/>
      </top>
      <bottom/>
      <diagonal/>
    </border>
    <border>
      <left style="thin">
        <color rgb="FFCBD5E1"/>
      </left>
      <right/>
      <top style="thin">
        <color rgb="FFCBD5E1"/>
      </top>
      <bottom/>
      <diagonal/>
    </border>
    <border>
      <left/>
      <right/>
      <top style="thin">
        <color rgb="FFCBD5E1"/>
      </top>
      <bottom/>
      <diagonal/>
    </border>
    <border>
      <left style="thin">
        <color auto="1"/>
      </left>
      <right/>
      <top/>
      <bottom/>
      <diagonal/>
    </border>
  </borders>
  <cellStyleXfs count="17">
    <xf numFmtId="0" fontId="0" fillId="0" borderId="0"/>
    <xf numFmtId="0" fontId="5" fillId="0" borderId="0"/>
    <xf numFmtId="0" fontId="7" fillId="0" borderId="0"/>
    <xf numFmtId="0" fontId="4" fillId="0" borderId="0"/>
    <xf numFmtId="0" fontId="3" fillId="0" borderId="0"/>
    <xf numFmtId="0" fontId="8" fillId="0" borderId="0"/>
    <xf numFmtId="0" fontId="3" fillId="0" borderId="0"/>
    <xf numFmtId="0" fontId="8" fillId="0" borderId="0"/>
    <xf numFmtId="0" fontId="2" fillId="0" borderId="0"/>
    <xf numFmtId="0" fontId="7" fillId="0" borderId="0"/>
    <xf numFmtId="0" fontId="8" fillId="0" borderId="0"/>
    <xf numFmtId="0" fontId="1" fillId="0" borderId="0"/>
    <xf numFmtId="0" fontId="7" fillId="0" borderId="0"/>
    <xf numFmtId="0" fontId="38" fillId="0" borderId="0"/>
    <xf numFmtId="0" fontId="7" fillId="0" borderId="0"/>
    <xf numFmtId="0" fontId="41" fillId="0" borderId="0"/>
    <xf numFmtId="0" fontId="41" fillId="0" borderId="0"/>
  </cellStyleXfs>
  <cellXfs count="519">
    <xf numFmtId="0" fontId="0" fillId="0" borderId="0" xfId="0"/>
    <xf numFmtId="0" fontId="9" fillId="0" borderId="0" xfId="2" applyFont="1" applyAlignment="1">
      <alignment horizontal="center" vertical="center"/>
    </xf>
    <xf numFmtId="2" fontId="11" fillId="4" borderId="6" xfId="0" applyNumberFormat="1" applyFont="1" applyFill="1" applyBorder="1" applyAlignment="1">
      <alignment horizontal="center" vertical="center" wrapText="1"/>
    </xf>
    <xf numFmtId="189" fontId="11" fillId="0" borderId="6" xfId="0" applyNumberFormat="1" applyFont="1" applyBorder="1" applyAlignment="1">
      <alignment horizontal="center" vertical="center"/>
    </xf>
    <xf numFmtId="166" fontId="11" fillId="0" borderId="6" xfId="0" applyNumberFormat="1" applyFont="1" applyBorder="1" applyAlignment="1">
      <alignment horizontal="center" vertical="center" wrapText="1"/>
    </xf>
    <xf numFmtId="227" fontId="11" fillId="0" borderId="6" xfId="3" applyNumberFormat="1" applyFont="1" applyBorder="1" applyAlignment="1">
      <alignment horizontal="center" vertical="center"/>
    </xf>
    <xf numFmtId="0" fontId="11" fillId="0" borderId="0" xfId="0" applyFont="1"/>
    <xf numFmtId="0" fontId="12" fillId="7" borderId="0" xfId="3" applyFont="1" applyFill="1" applyAlignment="1">
      <alignment horizontal="left" vertical="center"/>
    </xf>
    <xf numFmtId="208" fontId="12" fillId="7" borderId="0" xfId="0" applyNumberFormat="1" applyFont="1" applyFill="1" applyAlignment="1">
      <alignment horizontal="left" vertical="center"/>
    </xf>
    <xf numFmtId="0" fontId="12" fillId="7" borderId="0" xfId="3" applyFont="1" applyFill="1" applyAlignment="1">
      <alignment horizontal="center" vertical="center"/>
    </xf>
    <xf numFmtId="0" fontId="11" fillId="7" borderId="0" xfId="3" applyFont="1" applyFill="1" applyAlignment="1">
      <alignment horizontal="center" vertical="center"/>
    </xf>
    <xf numFmtId="0" fontId="13" fillId="7" borderId="0" xfId="0" applyFont="1" applyFill="1" applyAlignment="1">
      <alignment horizontal="left" vertical="center"/>
    </xf>
    <xf numFmtId="193" fontId="9" fillId="7" borderId="0" xfId="0" applyNumberFormat="1" applyFont="1" applyFill="1" applyAlignment="1">
      <alignment horizontal="left" vertical="center"/>
    </xf>
    <xf numFmtId="0" fontId="14" fillId="7" borderId="0" xfId="3" applyFont="1" applyFill="1" applyAlignment="1">
      <alignment horizontal="center" vertical="center"/>
    </xf>
    <xf numFmtId="0" fontId="11" fillId="7" borderId="0" xfId="3" applyFont="1" applyFill="1" applyAlignment="1">
      <alignment horizontal="left" vertical="center"/>
    </xf>
    <xf numFmtId="205" fontId="9" fillId="7" borderId="0" xfId="0" applyNumberFormat="1" applyFont="1" applyFill="1" applyAlignment="1">
      <alignment horizontal="left" vertical="center"/>
    </xf>
    <xf numFmtId="208" fontId="15" fillId="7" borderId="0" xfId="0" applyNumberFormat="1" applyFont="1" applyFill="1" applyAlignment="1">
      <alignment horizontal="left" vertical="center"/>
    </xf>
    <xf numFmtId="205" fontId="15" fillId="7" borderId="0" xfId="0" applyNumberFormat="1" applyFont="1" applyFill="1" applyAlignment="1">
      <alignment horizontal="left" vertical="center"/>
    </xf>
    <xf numFmtId="0" fontId="9" fillId="0" borderId="0" xfId="2" applyFont="1" applyAlignment="1">
      <alignment horizontal="left" vertical="center" wrapText="1"/>
    </xf>
    <xf numFmtId="0" fontId="10" fillId="0" borderId="0" xfId="2" applyFont="1" applyAlignment="1">
      <alignment horizontal="center" vertical="center"/>
    </xf>
    <xf numFmtId="0" fontId="9" fillId="0" borderId="0" xfId="2" applyFont="1" applyAlignment="1">
      <alignment horizontal="left" vertical="center"/>
    </xf>
    <xf numFmtId="230" fontId="9" fillId="0" borderId="0" xfId="2" applyNumberFormat="1" applyFont="1" applyAlignment="1">
      <alignment horizontal="center" vertical="center"/>
    </xf>
    <xf numFmtId="0" fontId="11" fillId="0" borderId="0" xfId="2" applyFont="1" applyAlignment="1">
      <alignment horizontal="center" vertical="center"/>
    </xf>
    <xf numFmtId="0" fontId="9" fillId="6" borderId="0" xfId="2" applyFont="1" applyFill="1" applyAlignment="1">
      <alignment horizontal="center" vertical="center"/>
    </xf>
    <xf numFmtId="0" fontId="9" fillId="6" borderId="0" xfId="2" applyFont="1" applyFill="1" applyAlignment="1">
      <alignment horizontal="left" vertical="center"/>
    </xf>
    <xf numFmtId="230" fontId="9" fillId="6" borderId="0" xfId="2" applyNumberFormat="1" applyFont="1" applyFill="1" applyAlignment="1">
      <alignment horizontal="center" vertical="center"/>
    </xf>
    <xf numFmtId="0" fontId="16" fillId="0" borderId="0" xfId="2" applyFont="1" applyAlignment="1">
      <alignment horizontal="center" vertical="center"/>
    </xf>
    <xf numFmtId="0" fontId="12" fillId="0" borderId="0" xfId="2" applyFont="1" applyAlignment="1">
      <alignment horizontal="center" vertical="center"/>
    </xf>
    <xf numFmtId="0" fontId="9" fillId="0" borderId="0" xfId="2" applyFont="1" applyAlignment="1">
      <alignment horizontal="right" vertical="center"/>
    </xf>
    <xf numFmtId="0" fontId="11" fillId="0" borderId="0" xfId="0" applyFont="1" applyAlignment="1">
      <alignment horizontal="center" vertical="center"/>
    </xf>
    <xf numFmtId="183" fontId="11" fillId="0" borderId="0" xfId="0" applyNumberFormat="1" applyFont="1" applyAlignment="1">
      <alignment horizontal="center"/>
    </xf>
    <xf numFmtId="0" fontId="13" fillId="0" borderId="0" xfId="0" applyFont="1" applyAlignment="1">
      <alignment horizontal="left"/>
    </xf>
    <xf numFmtId="0" fontId="13" fillId="0" borderId="0" xfId="0" applyFont="1"/>
    <xf numFmtId="0" fontId="13" fillId="0" borderId="0" xfId="0" applyFont="1" applyAlignment="1">
      <alignment horizontal="center" vertical="center"/>
    </xf>
    <xf numFmtId="176" fontId="13" fillId="0" borderId="11" xfId="0" applyNumberFormat="1" applyFont="1" applyBorder="1" applyAlignment="1">
      <alignment horizontal="center" vertical="center" wrapText="1"/>
    </xf>
    <xf numFmtId="2" fontId="13" fillId="0" borderId="11" xfId="0" applyNumberFormat="1" applyFont="1" applyBorder="1" applyAlignment="1">
      <alignment horizontal="center" vertical="center" wrapText="1"/>
    </xf>
    <xf numFmtId="176" fontId="18" fillId="0" borderId="31" xfId="0" applyNumberFormat="1" applyFont="1" applyBorder="1" applyAlignment="1">
      <alignment horizontal="center" vertical="center" wrapText="1"/>
    </xf>
    <xf numFmtId="206" fontId="13" fillId="0" borderId="0" xfId="1" applyNumberFormat="1" applyFont="1" applyAlignment="1">
      <alignment horizontal="left"/>
    </xf>
    <xf numFmtId="189" fontId="13" fillId="0" borderId="17" xfId="0" applyNumberFormat="1" applyFont="1" applyBorder="1" applyAlignment="1">
      <alignment horizontal="left" vertical="center" wrapText="1"/>
    </xf>
    <xf numFmtId="180" fontId="19" fillId="2" borderId="17" xfId="0" applyNumberFormat="1" applyFont="1" applyFill="1" applyBorder="1" applyAlignment="1">
      <alignment horizontal="center" vertical="center" wrapText="1"/>
    </xf>
    <xf numFmtId="2" fontId="13" fillId="0" borderId="37" xfId="0" applyNumberFormat="1" applyFont="1" applyBorder="1" applyAlignment="1">
      <alignment horizontal="center" vertical="center" wrapText="1"/>
    </xf>
    <xf numFmtId="2" fontId="13" fillId="0" borderId="0" xfId="0" applyNumberFormat="1" applyFont="1" applyAlignment="1">
      <alignment horizontal="center" vertical="center" wrapText="1"/>
    </xf>
    <xf numFmtId="0" fontId="13" fillId="0" borderId="0" xfId="0" applyFont="1" applyAlignment="1">
      <alignment horizontal="left" vertical="center"/>
    </xf>
    <xf numFmtId="189" fontId="13" fillId="0" borderId="6" xfId="0" applyNumberFormat="1" applyFont="1" applyBorder="1" applyAlignment="1">
      <alignment horizontal="left" vertical="center" wrapText="1"/>
    </xf>
    <xf numFmtId="180" fontId="19" fillId="2" borderId="6" xfId="0" applyNumberFormat="1" applyFont="1" applyFill="1" applyBorder="1" applyAlignment="1">
      <alignment horizontal="center" vertical="center" wrapText="1"/>
    </xf>
    <xf numFmtId="2" fontId="13" fillId="0" borderId="26" xfId="0" applyNumberFormat="1" applyFont="1" applyBorder="1" applyAlignment="1">
      <alignment horizontal="center" vertical="center" wrapText="1"/>
    </xf>
    <xf numFmtId="172" fontId="13" fillId="0" borderId="0" xfId="0" applyNumberFormat="1" applyFont="1" applyAlignment="1">
      <alignment horizontal="left" vertical="center" wrapText="1"/>
    </xf>
    <xf numFmtId="173" fontId="13" fillId="0" borderId="0" xfId="0" applyNumberFormat="1" applyFont="1" applyAlignment="1">
      <alignment horizontal="left" vertical="center"/>
    </xf>
    <xf numFmtId="174" fontId="15" fillId="0" borderId="0" xfId="0" applyNumberFormat="1" applyFont="1" applyAlignment="1">
      <alignment horizontal="left" vertical="center"/>
    </xf>
    <xf numFmtId="189" fontId="13" fillId="6" borderId="6" xfId="0" applyNumberFormat="1" applyFont="1" applyFill="1" applyBorder="1" applyAlignment="1">
      <alignment horizontal="left" vertical="center" wrapText="1"/>
    </xf>
    <xf numFmtId="180" fontId="19" fillId="6" borderId="6" xfId="0" applyNumberFormat="1" applyFont="1" applyFill="1" applyBorder="1" applyAlignment="1">
      <alignment horizontal="center" vertical="center" wrapText="1"/>
    </xf>
    <xf numFmtId="2" fontId="13" fillId="6" borderId="26" xfId="0" applyNumberFormat="1" applyFont="1" applyFill="1" applyBorder="1" applyAlignment="1">
      <alignment horizontal="center" vertical="center" wrapText="1"/>
    </xf>
    <xf numFmtId="175" fontId="15" fillId="0" borderId="0" xfId="0" applyNumberFormat="1" applyFont="1" applyAlignment="1">
      <alignment horizontal="left" vertical="center"/>
    </xf>
    <xf numFmtId="189" fontId="13" fillId="3" borderId="6" xfId="0" applyNumberFormat="1" applyFont="1" applyFill="1" applyBorder="1" applyAlignment="1">
      <alignment horizontal="left" vertical="center" wrapText="1"/>
    </xf>
    <xf numFmtId="0" fontId="11" fillId="3" borderId="0" xfId="0" applyFont="1" applyFill="1"/>
    <xf numFmtId="176" fontId="13" fillId="0" borderId="0" xfId="0" applyNumberFormat="1" applyFont="1" applyAlignment="1">
      <alignment horizontal="left" vertical="center" wrapText="1"/>
    </xf>
    <xf numFmtId="168" fontId="13" fillId="0" borderId="0" xfId="0" applyNumberFormat="1" applyFont="1" applyAlignment="1">
      <alignment horizontal="left" vertical="center"/>
    </xf>
    <xf numFmtId="189" fontId="13" fillId="0" borderId="13" xfId="0" applyNumberFormat="1" applyFont="1" applyBorder="1" applyAlignment="1">
      <alignment horizontal="left" vertical="center" wrapText="1"/>
    </xf>
    <xf numFmtId="180" fontId="19" fillId="2" borderId="13" xfId="0" applyNumberFormat="1" applyFont="1" applyFill="1" applyBorder="1" applyAlignment="1">
      <alignment horizontal="center" vertical="center" wrapText="1"/>
    </xf>
    <xf numFmtId="2" fontId="13" fillId="0" borderId="42" xfId="0" applyNumberFormat="1" applyFont="1" applyBorder="1" applyAlignment="1">
      <alignment horizontal="center" vertical="center" wrapText="1"/>
    </xf>
    <xf numFmtId="176" fontId="13" fillId="0" borderId="0" xfId="0" applyNumberFormat="1" applyFont="1" applyAlignment="1">
      <alignment horizontal="center" vertical="center" wrapText="1"/>
    </xf>
    <xf numFmtId="165" fontId="13" fillId="0" borderId="0" xfId="1" applyNumberFormat="1" applyFont="1" applyAlignment="1">
      <alignment horizontal="left"/>
    </xf>
    <xf numFmtId="189" fontId="13" fillId="0" borderId="22" xfId="0" applyNumberFormat="1" applyFont="1" applyBorder="1" applyAlignment="1">
      <alignment horizontal="left" vertical="center" wrapText="1"/>
    </xf>
    <xf numFmtId="180" fontId="19" fillId="2" borderId="22" xfId="0" applyNumberFormat="1" applyFont="1" applyFill="1" applyBorder="1" applyAlignment="1">
      <alignment horizontal="center" vertical="center" wrapText="1"/>
    </xf>
    <xf numFmtId="2" fontId="13" fillId="0" borderId="29" xfId="0" applyNumberFormat="1" applyFont="1" applyBorder="1" applyAlignment="1">
      <alignment horizontal="center" vertical="center" wrapText="1"/>
    </xf>
    <xf numFmtId="169" fontId="13" fillId="0" borderId="0" xfId="1" applyNumberFormat="1" applyFont="1" applyAlignment="1">
      <alignment horizontal="center" vertical="center"/>
    </xf>
    <xf numFmtId="170" fontId="13" fillId="0" borderId="0" xfId="1" applyNumberFormat="1" applyFont="1" applyAlignment="1">
      <alignment horizontal="center" vertical="center"/>
    </xf>
    <xf numFmtId="0" fontId="17" fillId="0" borderId="0" xfId="0" applyFont="1" applyAlignment="1">
      <alignment horizontal="left" vertical="center"/>
    </xf>
    <xf numFmtId="167" fontId="21" fillId="0" borderId="0" xfId="0" applyNumberFormat="1" applyFont="1" applyAlignment="1">
      <alignment horizontal="left"/>
    </xf>
    <xf numFmtId="171" fontId="15" fillId="0" borderId="0" xfId="0" applyNumberFormat="1" applyFont="1" applyAlignment="1">
      <alignment horizontal="left" vertical="center"/>
    </xf>
    <xf numFmtId="189" fontId="13" fillId="0" borderId="12" xfId="0" applyNumberFormat="1" applyFont="1" applyBorder="1" applyAlignment="1">
      <alignment horizontal="left" vertical="center" wrapText="1"/>
    </xf>
    <xf numFmtId="180" fontId="19" fillId="2" borderId="12" xfId="0" applyNumberFormat="1" applyFont="1" applyFill="1" applyBorder="1" applyAlignment="1">
      <alignment horizontal="center" vertical="center" wrapText="1"/>
    </xf>
    <xf numFmtId="2" fontId="13" fillId="0" borderId="24" xfId="0" applyNumberFormat="1" applyFont="1" applyBorder="1" applyAlignment="1">
      <alignment horizontal="center" vertical="center" wrapText="1"/>
    </xf>
    <xf numFmtId="205" fontId="15" fillId="0" borderId="0" xfId="0" applyNumberFormat="1" applyFont="1" applyAlignment="1">
      <alignment horizontal="left" vertical="center"/>
    </xf>
    <xf numFmtId="205" fontId="13" fillId="0" borderId="0" xfId="0" applyNumberFormat="1" applyFont="1" applyAlignment="1">
      <alignment horizontal="left" vertical="center"/>
    </xf>
    <xf numFmtId="204" fontId="13" fillId="0" borderId="0" xfId="0" applyNumberFormat="1" applyFont="1" applyAlignment="1">
      <alignment horizontal="left" vertical="center"/>
    </xf>
    <xf numFmtId="208" fontId="15" fillId="0" borderId="0" xfId="0" applyNumberFormat="1" applyFont="1" applyAlignment="1">
      <alignment horizontal="left" vertical="center"/>
    </xf>
    <xf numFmtId="0" fontId="13" fillId="0" borderId="0" xfId="0" applyFont="1" applyAlignment="1">
      <alignment horizontal="center"/>
    </xf>
    <xf numFmtId="186" fontId="15" fillId="0" borderId="6" xfId="0" applyNumberFormat="1" applyFont="1" applyBorder="1" applyAlignment="1">
      <alignment horizontal="center" vertical="center" wrapText="1"/>
    </xf>
    <xf numFmtId="191" fontId="15" fillId="0" borderId="17" xfId="0" applyNumberFormat="1" applyFont="1" applyBorder="1" applyAlignment="1">
      <alignment horizontal="center" vertical="center"/>
    </xf>
    <xf numFmtId="0" fontId="15" fillId="0" borderId="6" xfId="0" applyFont="1" applyBorder="1" applyAlignment="1">
      <alignment horizontal="left" vertical="center"/>
    </xf>
    <xf numFmtId="183" fontId="15" fillId="0" borderId="6" xfId="0" applyNumberFormat="1" applyFont="1" applyBorder="1" applyAlignment="1">
      <alignment horizontal="center" vertical="center"/>
    </xf>
    <xf numFmtId="192" fontId="15" fillId="0" borderId="6" xfId="0" applyNumberFormat="1" applyFont="1" applyBorder="1" applyAlignment="1">
      <alignment horizontal="center" vertical="center"/>
    </xf>
    <xf numFmtId="195" fontId="15" fillId="0" borderId="6" xfId="0" applyNumberFormat="1" applyFont="1" applyBorder="1" applyAlignment="1">
      <alignment horizontal="center" vertical="center" wrapText="1"/>
    </xf>
    <xf numFmtId="196" fontId="15" fillId="0" borderId="6" xfId="0" applyNumberFormat="1" applyFont="1" applyBorder="1" applyAlignment="1">
      <alignment horizontal="center" vertical="center"/>
    </xf>
    <xf numFmtId="0" fontId="15" fillId="0" borderId="22" xfId="0" applyFont="1" applyBorder="1" applyAlignment="1">
      <alignment horizontal="left" vertical="center"/>
    </xf>
    <xf numFmtId="183" fontId="15" fillId="0" borderId="22" xfId="0" applyNumberFormat="1" applyFont="1" applyBorder="1" applyAlignment="1">
      <alignment horizontal="center" vertical="center"/>
    </xf>
    <xf numFmtId="192" fontId="15" fillId="0" borderId="22" xfId="0" applyNumberFormat="1" applyFont="1" applyBorder="1" applyAlignment="1">
      <alignment horizontal="center" vertical="center"/>
    </xf>
    <xf numFmtId="195" fontId="15" fillId="0" borderId="22" xfId="0" applyNumberFormat="1" applyFont="1" applyBorder="1" applyAlignment="1">
      <alignment horizontal="center" vertical="center" wrapText="1"/>
    </xf>
    <xf numFmtId="196" fontId="15" fillId="0" borderId="22" xfId="0" applyNumberFormat="1" applyFont="1" applyBorder="1" applyAlignment="1">
      <alignment horizontal="center" vertical="center"/>
    </xf>
    <xf numFmtId="197" fontId="13" fillId="0" borderId="0" xfId="0" applyNumberFormat="1" applyFont="1" applyAlignment="1">
      <alignment horizontal="center" vertical="center" wrapText="1"/>
    </xf>
    <xf numFmtId="189" fontId="13" fillId="0" borderId="31" xfId="0" applyNumberFormat="1" applyFont="1" applyBorder="1" applyAlignment="1">
      <alignment horizontal="left" vertical="center" wrapText="1"/>
    </xf>
    <xf numFmtId="172" fontId="13" fillId="0" borderId="0" xfId="0" applyNumberFormat="1" applyFont="1" applyAlignment="1">
      <alignment horizontal="center" vertical="center" wrapText="1"/>
    </xf>
    <xf numFmtId="189" fontId="13" fillId="6" borderId="13" xfId="0" applyNumberFormat="1" applyFont="1" applyFill="1" applyBorder="1" applyAlignment="1">
      <alignment horizontal="left" vertical="center" wrapText="1"/>
    </xf>
    <xf numFmtId="0" fontId="13" fillId="0" borderId="0" xfId="0" applyFont="1" applyAlignment="1">
      <alignment vertical="center"/>
    </xf>
    <xf numFmtId="4" fontId="13" fillId="0" borderId="0" xfId="0" applyNumberFormat="1" applyFont="1" applyAlignment="1">
      <alignment horizontal="center" vertical="center"/>
    </xf>
    <xf numFmtId="183" fontId="13" fillId="0" borderId="0" xfId="0" applyNumberFormat="1" applyFont="1" applyAlignment="1">
      <alignment horizontal="center" vertical="center"/>
    </xf>
    <xf numFmtId="192" fontId="13" fillId="0" borderId="0" xfId="0" applyNumberFormat="1" applyFont="1" applyAlignment="1">
      <alignment horizontal="center"/>
    </xf>
    <xf numFmtId="184" fontId="13" fillId="0" borderId="0" xfId="0" applyNumberFormat="1" applyFont="1" applyAlignment="1">
      <alignment horizontal="center" vertical="center" wrapText="1"/>
    </xf>
    <xf numFmtId="198" fontId="13" fillId="0" borderId="0" xfId="0" applyNumberFormat="1" applyFont="1" applyAlignment="1">
      <alignment horizontal="center" vertical="center"/>
    </xf>
    <xf numFmtId="2" fontId="13" fillId="0" borderId="0" xfId="0" applyNumberFormat="1" applyFont="1" applyAlignment="1">
      <alignment horizontal="center" vertical="center"/>
    </xf>
    <xf numFmtId="3" fontId="13" fillId="0" borderId="0" xfId="0" applyNumberFormat="1" applyFont="1" applyAlignment="1">
      <alignment horizontal="center" vertical="center"/>
    </xf>
    <xf numFmtId="189" fontId="13" fillId="6" borderId="22" xfId="0" applyNumberFormat="1" applyFont="1" applyFill="1" applyBorder="1" applyAlignment="1">
      <alignment horizontal="left" vertical="center" wrapText="1"/>
    </xf>
    <xf numFmtId="180" fontId="19" fillId="6" borderId="22" xfId="0" applyNumberFormat="1" applyFont="1" applyFill="1" applyBorder="1" applyAlignment="1">
      <alignment horizontal="center" vertical="center" wrapText="1"/>
    </xf>
    <xf numFmtId="2" fontId="13" fillId="6" borderId="29" xfId="0" applyNumberFormat="1" applyFont="1" applyFill="1" applyBorder="1" applyAlignment="1">
      <alignment horizontal="center" vertical="center" wrapText="1"/>
    </xf>
    <xf numFmtId="192" fontId="15" fillId="0" borderId="17" xfId="0" applyNumberFormat="1" applyFont="1" applyBorder="1" applyAlignment="1">
      <alignment horizontal="center" vertical="center"/>
    </xf>
    <xf numFmtId="1" fontId="13" fillId="0" borderId="0" xfId="0" applyNumberFormat="1" applyFont="1" applyAlignment="1">
      <alignment horizontal="center" vertical="center" wrapText="1"/>
    </xf>
    <xf numFmtId="200" fontId="13" fillId="0" borderId="0" xfId="0" applyNumberFormat="1" applyFont="1" applyAlignment="1">
      <alignment horizontal="center" vertical="center"/>
    </xf>
    <xf numFmtId="201" fontId="13" fillId="0" borderId="0" xfId="0" applyNumberFormat="1" applyFont="1" applyAlignment="1">
      <alignment horizontal="center" vertical="center"/>
    </xf>
    <xf numFmtId="176" fontId="13" fillId="0" borderId="0" xfId="0" applyNumberFormat="1" applyFont="1" applyAlignment="1">
      <alignment vertical="center"/>
    </xf>
    <xf numFmtId="3" fontId="13" fillId="0" borderId="0" xfId="0" applyNumberFormat="1" applyFont="1" applyAlignment="1">
      <alignment horizontal="center"/>
    </xf>
    <xf numFmtId="2" fontId="13" fillId="0" borderId="0" xfId="0" applyNumberFormat="1" applyFont="1"/>
    <xf numFmtId="192" fontId="15" fillId="0" borderId="12" xfId="0" applyNumberFormat="1" applyFont="1" applyBorder="1" applyAlignment="1">
      <alignment horizontal="center" vertical="center"/>
    </xf>
    <xf numFmtId="192" fontId="15" fillId="3" borderId="12" xfId="0" applyNumberFormat="1" applyFont="1" applyFill="1" applyBorder="1" applyAlignment="1">
      <alignment horizontal="center" vertical="center"/>
    </xf>
    <xf numFmtId="189" fontId="13" fillId="3" borderId="12" xfId="0" applyNumberFormat="1" applyFont="1" applyFill="1" applyBorder="1" applyAlignment="1">
      <alignment horizontal="left" vertical="center" wrapText="1"/>
    </xf>
    <xf numFmtId="2" fontId="13" fillId="0" borderId="40" xfId="0" applyNumberFormat="1" applyFont="1" applyBorder="1" applyAlignment="1">
      <alignment horizontal="center" vertical="center" wrapText="1"/>
    </xf>
    <xf numFmtId="192" fontId="15" fillId="0" borderId="13" xfId="0" applyNumberFormat="1" applyFont="1" applyBorder="1" applyAlignment="1">
      <alignment horizontal="center" vertical="center"/>
    </xf>
    <xf numFmtId="0" fontId="22" fillId="0" borderId="0" xfId="0" applyFont="1" applyAlignment="1">
      <alignment horizontal="center" vertical="center"/>
    </xf>
    <xf numFmtId="202" fontId="13" fillId="0" borderId="0" xfId="0" applyNumberFormat="1" applyFont="1" applyAlignment="1">
      <alignment horizontal="center" vertical="center" wrapText="1"/>
    </xf>
    <xf numFmtId="188" fontId="13" fillId="0" borderId="0" xfId="0" applyNumberFormat="1" applyFont="1"/>
    <xf numFmtId="2" fontId="13" fillId="0" borderId="0" xfId="0" applyNumberFormat="1" applyFont="1" applyAlignment="1">
      <alignment horizontal="left" vertical="center"/>
    </xf>
    <xf numFmtId="1" fontId="13" fillId="0" borderId="0" xfId="0" applyNumberFormat="1" applyFont="1" applyAlignment="1">
      <alignment horizontal="center" vertical="center"/>
    </xf>
    <xf numFmtId="2" fontId="15" fillId="0" borderId="0" xfId="0" applyNumberFormat="1" applyFont="1" applyAlignment="1">
      <alignment horizontal="left" vertical="center"/>
    </xf>
    <xf numFmtId="192" fontId="15" fillId="3" borderId="6" xfId="0" applyNumberFormat="1" applyFont="1" applyFill="1" applyBorder="1" applyAlignment="1">
      <alignment horizontal="center" vertical="center"/>
    </xf>
    <xf numFmtId="189" fontId="13" fillId="0" borderId="28" xfId="0" applyNumberFormat="1" applyFont="1" applyBorder="1" applyAlignment="1">
      <alignment horizontal="left" vertical="center" wrapText="1"/>
    </xf>
    <xf numFmtId="180" fontId="19" fillId="2" borderId="28" xfId="0" applyNumberFormat="1" applyFont="1" applyFill="1" applyBorder="1" applyAlignment="1">
      <alignment horizontal="center" vertical="center" wrapText="1"/>
    </xf>
    <xf numFmtId="2" fontId="13" fillId="0" borderId="41" xfId="0" applyNumberFormat="1" applyFont="1" applyBorder="1" applyAlignment="1">
      <alignment horizontal="center" vertical="center" wrapText="1"/>
    </xf>
    <xf numFmtId="189" fontId="13" fillId="6" borderId="12" xfId="0" applyNumberFormat="1" applyFont="1" applyFill="1" applyBorder="1" applyAlignment="1">
      <alignment horizontal="left" vertical="center" wrapText="1"/>
    </xf>
    <xf numFmtId="189" fontId="13" fillId="6" borderId="31" xfId="0" applyNumberFormat="1" applyFont="1" applyFill="1" applyBorder="1" applyAlignment="1">
      <alignment horizontal="left" vertical="center" wrapText="1"/>
    </xf>
    <xf numFmtId="180" fontId="19" fillId="2" borderId="31" xfId="0" applyNumberFormat="1" applyFont="1" applyFill="1" applyBorder="1" applyAlignment="1">
      <alignment horizontal="center" vertical="center" wrapText="1"/>
    </xf>
    <xf numFmtId="0" fontId="13" fillId="0" borderId="0" xfId="0" applyFont="1" applyAlignment="1">
      <alignment horizontal="center" vertical="center" wrapTex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3" xfId="0" applyFont="1" applyBorder="1" applyAlignment="1">
      <alignment horizontal="center" vertical="center"/>
    </xf>
    <xf numFmtId="0" fontId="13" fillId="0" borderId="33" xfId="0" applyFont="1" applyBorder="1" applyAlignment="1">
      <alignment horizontal="center" vertical="center"/>
    </xf>
    <xf numFmtId="2" fontId="13" fillId="0" borderId="20" xfId="0" applyNumberFormat="1" applyFont="1" applyBorder="1" applyAlignment="1">
      <alignment horizontal="center" vertical="center" wrapText="1"/>
    </xf>
    <xf numFmtId="0" fontId="13" fillId="0" borderId="6" xfId="0" applyFont="1" applyBorder="1" applyAlignment="1">
      <alignment horizontal="center" vertical="center"/>
    </xf>
    <xf numFmtId="0" fontId="13" fillId="0" borderId="22" xfId="0" applyFont="1" applyBorder="1" applyAlignment="1">
      <alignment horizontal="center" vertical="center"/>
    </xf>
    <xf numFmtId="2" fontId="13" fillId="0" borderId="23" xfId="0" applyNumberFormat="1" applyFont="1" applyBorder="1" applyAlignment="1">
      <alignment horizontal="center" vertical="center" wrapText="1"/>
    </xf>
    <xf numFmtId="0" fontId="13" fillId="0" borderId="20" xfId="0" applyFont="1" applyBorder="1" applyAlignment="1">
      <alignment horizontal="center" vertical="center"/>
    </xf>
    <xf numFmtId="0" fontId="13" fillId="0" borderId="23" xfId="0" applyFont="1" applyBorder="1" applyAlignment="1">
      <alignment horizontal="center" vertical="center"/>
    </xf>
    <xf numFmtId="0" fontId="9" fillId="0" borderId="0" xfId="0" applyFont="1"/>
    <xf numFmtId="0" fontId="14" fillId="0" borderId="0" xfId="0" applyFont="1" applyAlignment="1">
      <alignment horizontal="center"/>
    </xf>
    <xf numFmtId="0" fontId="11" fillId="0" borderId="4" xfId="0" applyFont="1" applyBorder="1"/>
    <xf numFmtId="0" fontId="11" fillId="0" borderId="7" xfId="0" applyFont="1" applyBorder="1"/>
    <xf numFmtId="0" fontId="17" fillId="5" borderId="6" xfId="0" applyFont="1" applyFill="1" applyBorder="1" applyAlignment="1">
      <alignment horizontal="center" vertical="center"/>
    </xf>
    <xf numFmtId="0" fontId="17" fillId="5" borderId="6" xfId="0" applyFont="1" applyFill="1" applyBorder="1" applyAlignment="1">
      <alignment horizontal="center" vertical="center" wrapText="1"/>
    </xf>
    <xf numFmtId="0" fontId="13" fillId="5" borderId="6" xfId="0" applyFont="1" applyFill="1" applyBorder="1" applyAlignment="1">
      <alignment horizontal="center" vertical="center"/>
    </xf>
    <xf numFmtId="0" fontId="26" fillId="7" borderId="6" xfId="0" applyFont="1" applyFill="1" applyBorder="1" applyAlignment="1" applyProtection="1">
      <alignment horizontal="left" vertical="center" wrapText="1"/>
      <protection locked="0"/>
    </xf>
    <xf numFmtId="199" fontId="13" fillId="7" borderId="6" xfId="0" applyNumberFormat="1" applyFont="1" applyFill="1" applyBorder="1" applyAlignment="1" applyProtection="1">
      <alignment horizontal="center" vertical="center" wrapText="1"/>
      <protection locked="0"/>
    </xf>
    <xf numFmtId="181" fontId="13" fillId="7" borderId="6" xfId="0" applyNumberFormat="1" applyFont="1" applyFill="1" applyBorder="1" applyAlignment="1" applyProtection="1">
      <alignment horizontal="center" vertical="center" wrapText="1"/>
      <protection locked="0"/>
    </xf>
    <xf numFmtId="3" fontId="13" fillId="7" borderId="6" xfId="0" applyNumberFormat="1" applyFont="1" applyFill="1" applyBorder="1" applyAlignment="1" applyProtection="1">
      <alignment horizontal="center" vertical="center" wrapText="1"/>
      <protection locked="0"/>
    </xf>
    <xf numFmtId="213" fontId="17" fillId="7" borderId="6" xfId="0" applyNumberFormat="1" applyFont="1" applyFill="1" applyBorder="1" applyAlignment="1" applyProtection="1">
      <alignment horizontal="center" vertical="center" wrapText="1"/>
      <protection locked="0"/>
    </xf>
    <xf numFmtId="0" fontId="13" fillId="7" borderId="6" xfId="0" applyFont="1" applyFill="1" applyBorder="1" applyAlignment="1">
      <alignment horizontal="center" vertical="center"/>
    </xf>
    <xf numFmtId="0" fontId="20" fillId="7" borderId="6" xfId="0" applyFont="1" applyFill="1" applyBorder="1" applyAlignment="1" applyProtection="1">
      <alignment horizontal="center" vertical="center" wrapText="1"/>
      <protection locked="0"/>
    </xf>
    <xf numFmtId="0" fontId="15" fillId="0" borderId="6" xfId="0" applyFont="1" applyBorder="1" applyAlignment="1" applyProtection="1">
      <alignment horizontal="left" vertical="center" wrapText="1"/>
      <protection locked="0"/>
    </xf>
    <xf numFmtId="199" fontId="13" fillId="0" borderId="6" xfId="0" applyNumberFormat="1" applyFont="1" applyBorder="1" applyAlignment="1" applyProtection="1">
      <alignment horizontal="center" vertical="center" wrapText="1"/>
      <protection locked="0"/>
    </xf>
    <xf numFmtId="181" fontId="13" fillId="0" borderId="6" xfId="0" applyNumberFormat="1" applyFont="1" applyBorder="1" applyAlignment="1" applyProtection="1">
      <alignment horizontal="center" vertical="center" wrapText="1"/>
      <protection locked="0"/>
    </xf>
    <xf numFmtId="212" fontId="13" fillId="0" borderId="6" xfId="0" applyNumberFormat="1" applyFont="1" applyBorder="1" applyAlignment="1" applyProtection="1">
      <alignment horizontal="center" vertical="center" wrapText="1"/>
      <protection locked="0"/>
    </xf>
    <xf numFmtId="226" fontId="13" fillId="0" borderId="6" xfId="0" applyNumberFormat="1"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228" fontId="13" fillId="0" borderId="6" xfId="0" applyNumberFormat="1" applyFont="1" applyBorder="1" applyAlignment="1" applyProtection="1">
      <alignment horizontal="center" vertical="center" wrapText="1"/>
      <protection locked="0"/>
    </xf>
    <xf numFmtId="3" fontId="13" fillId="0" borderId="6" xfId="0" applyNumberFormat="1" applyFont="1" applyBorder="1" applyAlignment="1" applyProtection="1">
      <alignment horizontal="center" vertical="center" wrapText="1"/>
      <protection locked="0"/>
    </xf>
    <xf numFmtId="0" fontId="17" fillId="0" borderId="6" xfId="0" applyFont="1" applyBorder="1" applyAlignment="1">
      <alignment horizontal="center" vertical="center" wrapText="1"/>
    </xf>
    <xf numFmtId="0" fontId="21" fillId="7" borderId="6" xfId="0" applyFont="1" applyFill="1" applyBorder="1" applyAlignment="1" applyProtection="1">
      <alignment horizontal="left" vertical="center" wrapText="1"/>
      <protection locked="0"/>
    </xf>
    <xf numFmtId="199" fontId="21" fillId="7" borderId="6" xfId="0" applyNumberFormat="1" applyFont="1" applyFill="1" applyBorder="1" applyAlignment="1" applyProtection="1">
      <alignment horizontal="center" vertical="center" wrapText="1"/>
      <protection locked="0"/>
    </xf>
    <xf numFmtId="181" fontId="21" fillId="7" borderId="6" xfId="0" applyNumberFormat="1" applyFont="1" applyFill="1" applyBorder="1" applyAlignment="1" applyProtection="1">
      <alignment horizontal="center" vertical="center" wrapText="1"/>
      <protection locked="0"/>
    </xf>
    <xf numFmtId="3" fontId="17" fillId="7" borderId="6" xfId="0" applyNumberFormat="1" applyFont="1" applyFill="1" applyBorder="1" applyAlignment="1" applyProtection="1">
      <alignment horizontal="center" vertical="center" wrapText="1"/>
      <protection locked="0"/>
    </xf>
    <xf numFmtId="0" fontId="28" fillId="0" borderId="6" xfId="0" applyFont="1" applyBorder="1" applyAlignment="1" applyProtection="1">
      <alignment horizontal="left" vertical="center" wrapText="1"/>
      <protection locked="0"/>
    </xf>
    <xf numFmtId="210" fontId="13" fillId="0" borderId="6" xfId="0" applyNumberFormat="1" applyFont="1" applyBorder="1" applyAlignment="1" applyProtection="1">
      <alignment horizontal="center" vertical="center" wrapText="1"/>
      <protection locked="0"/>
    </xf>
    <xf numFmtId="207" fontId="13" fillId="0" borderId="6" xfId="0" applyNumberFormat="1" applyFont="1" applyBorder="1" applyAlignment="1" applyProtection="1">
      <alignment horizontal="center" vertical="center" wrapText="1"/>
      <protection locked="0"/>
    </xf>
    <xf numFmtId="211" fontId="13" fillId="0" borderId="6" xfId="0" applyNumberFormat="1" applyFont="1" applyBorder="1" applyAlignment="1" applyProtection="1">
      <alignment horizontal="center" vertical="center" wrapText="1"/>
      <protection locked="0"/>
    </xf>
    <xf numFmtId="229" fontId="11" fillId="0" borderId="0" xfId="0" applyNumberFormat="1" applyFont="1" applyAlignment="1">
      <alignment horizontal="center"/>
    </xf>
    <xf numFmtId="232" fontId="11" fillId="0" borderId="0" xfId="0" applyNumberFormat="1" applyFont="1" applyAlignment="1">
      <alignment horizontal="center"/>
    </xf>
    <xf numFmtId="0" fontId="28" fillId="0" borderId="6" xfId="0" applyFont="1" applyBorder="1" applyAlignment="1" applyProtection="1">
      <alignment horizontal="center" vertical="center" wrapText="1"/>
      <protection locked="0"/>
    </xf>
    <xf numFmtId="214" fontId="13" fillId="0" borderId="6" xfId="0" applyNumberFormat="1" applyFont="1" applyBorder="1" applyAlignment="1" applyProtection="1">
      <alignment horizontal="center" vertical="center" wrapText="1"/>
      <protection locked="0"/>
    </xf>
    <xf numFmtId="231" fontId="11" fillId="0" borderId="0" xfId="0" applyNumberFormat="1" applyFont="1" applyAlignment="1">
      <alignment horizontal="center"/>
    </xf>
    <xf numFmtId="179" fontId="15" fillId="0" borderId="6" xfId="0" applyNumberFormat="1" applyFont="1" applyBorder="1" applyAlignment="1">
      <alignment horizontal="center" vertical="center" wrapText="1"/>
    </xf>
    <xf numFmtId="0" fontId="26" fillId="0" borderId="6" xfId="0" applyFont="1" applyBorder="1" applyAlignment="1" applyProtection="1">
      <alignment horizontal="left" vertical="center" wrapText="1"/>
      <protection locked="0"/>
    </xf>
    <xf numFmtId="0" fontId="20" fillId="0" borderId="6" xfId="0" applyFont="1" applyBorder="1" applyAlignment="1" applyProtection="1">
      <alignment horizontal="center" vertical="center" wrapText="1"/>
      <protection locked="0"/>
    </xf>
    <xf numFmtId="199" fontId="17" fillId="7" borderId="6" xfId="0" applyNumberFormat="1" applyFont="1" applyFill="1" applyBorder="1" applyAlignment="1" applyProtection="1">
      <alignment horizontal="center" vertical="center" wrapText="1"/>
      <protection locked="0"/>
    </xf>
    <xf numFmtId="0" fontId="17" fillId="7" borderId="6" xfId="0" applyFont="1" applyFill="1" applyBorder="1" applyAlignment="1">
      <alignment horizontal="center" vertical="center" wrapText="1"/>
    </xf>
    <xf numFmtId="0" fontId="29" fillId="7" borderId="6" xfId="0" applyFont="1" applyFill="1" applyBorder="1" applyAlignment="1">
      <alignment horizontal="center" vertical="center"/>
    </xf>
    <xf numFmtId="0" fontId="17" fillId="7" borderId="6" xfId="0" applyFont="1" applyFill="1" applyBorder="1" applyAlignment="1">
      <alignment horizontal="center" vertical="center"/>
    </xf>
    <xf numFmtId="209" fontId="13" fillId="0" borderId="6" xfId="0" applyNumberFormat="1" applyFont="1" applyBorder="1" applyAlignment="1" applyProtection="1">
      <alignment horizontal="center" vertical="center" wrapText="1"/>
      <protection locked="0"/>
    </xf>
    <xf numFmtId="229" fontId="13" fillId="0" borderId="0" xfId="0" applyNumberFormat="1" applyFont="1" applyAlignment="1">
      <alignment horizontal="center" vertical="center"/>
    </xf>
    <xf numFmtId="179" fontId="30" fillId="0" borderId="6" xfId="0" applyNumberFormat="1" applyFont="1" applyBorder="1" applyAlignment="1">
      <alignment horizontal="center" vertical="center" wrapText="1"/>
    </xf>
    <xf numFmtId="190" fontId="11" fillId="0" borderId="6" xfId="0" applyNumberFormat="1" applyFont="1" applyBorder="1" applyAlignment="1">
      <alignment horizontal="center" vertical="center" wrapText="1"/>
    </xf>
    <xf numFmtId="176" fontId="13" fillId="0" borderId="0" xfId="0" applyNumberFormat="1" applyFont="1" applyAlignment="1">
      <alignment horizontal="center" vertical="center"/>
    </xf>
    <xf numFmtId="0" fontId="19" fillId="7" borderId="0" xfId="0" applyFont="1" applyFill="1" applyAlignment="1">
      <alignment horizontal="left" vertical="center"/>
    </xf>
    <xf numFmtId="205" fontId="19" fillId="7" borderId="0" xfId="0" applyNumberFormat="1" applyFont="1" applyFill="1" applyAlignment="1">
      <alignment horizontal="left" vertical="center"/>
    </xf>
    <xf numFmtId="0" fontId="9" fillId="7" borderId="0" xfId="3" applyFont="1" applyFill="1" applyAlignment="1">
      <alignment horizontal="left" vertical="center"/>
    </xf>
    <xf numFmtId="208" fontId="9" fillId="7" borderId="0" xfId="0" applyNumberFormat="1" applyFont="1" applyFill="1" applyAlignment="1">
      <alignment horizontal="left" vertical="center"/>
    </xf>
    <xf numFmtId="182" fontId="19" fillId="7" borderId="0" xfId="0" applyNumberFormat="1" applyFont="1" applyFill="1" applyAlignment="1">
      <alignment horizontal="left" vertical="center"/>
    </xf>
    <xf numFmtId="174" fontId="19" fillId="7" borderId="0" xfId="0" applyNumberFormat="1" applyFont="1" applyFill="1" applyAlignment="1">
      <alignment horizontal="left" vertical="center"/>
    </xf>
    <xf numFmtId="193" fontId="19" fillId="7" borderId="0" xfId="0" applyNumberFormat="1" applyFont="1" applyFill="1" applyAlignment="1">
      <alignment horizontal="left" vertical="center"/>
    </xf>
    <xf numFmtId="173" fontId="13" fillId="7" borderId="0" xfId="0" applyNumberFormat="1" applyFont="1" applyFill="1" applyAlignment="1">
      <alignment horizontal="left" vertical="center"/>
    </xf>
    <xf numFmtId="172" fontId="13" fillId="7" borderId="0" xfId="0" applyNumberFormat="1" applyFont="1" applyFill="1" applyAlignment="1">
      <alignment horizontal="left" vertical="center" wrapText="1"/>
    </xf>
    <xf numFmtId="180" fontId="19" fillId="3" borderId="6" xfId="0" applyNumberFormat="1" applyFont="1" applyFill="1" applyBorder="1" applyAlignment="1">
      <alignment horizontal="center" vertical="center" wrapText="1"/>
    </xf>
    <xf numFmtId="2" fontId="13" fillId="3" borderId="26" xfId="0" applyNumberFormat="1" applyFont="1" applyFill="1" applyBorder="1" applyAlignment="1">
      <alignment horizontal="center" vertical="center" wrapText="1"/>
    </xf>
    <xf numFmtId="2" fontId="13" fillId="3" borderId="24" xfId="0" applyNumberFormat="1" applyFont="1" applyFill="1" applyBorder="1" applyAlignment="1">
      <alignment horizontal="center" vertical="center" wrapText="1"/>
    </xf>
    <xf numFmtId="176" fontId="13" fillId="0" borderId="2" xfId="0" applyNumberFormat="1" applyFont="1" applyBorder="1" applyAlignment="1">
      <alignment horizontal="center" vertical="center" wrapText="1"/>
    </xf>
    <xf numFmtId="1" fontId="13" fillId="0" borderId="2" xfId="0" applyNumberFormat="1" applyFont="1" applyBorder="1" applyAlignment="1">
      <alignment horizontal="center" vertical="center"/>
    </xf>
    <xf numFmtId="0" fontId="13" fillId="0" borderId="2" xfId="0" applyFont="1" applyBorder="1"/>
    <xf numFmtId="0" fontId="13" fillId="0" borderId="3" xfId="0" applyFont="1" applyBorder="1"/>
    <xf numFmtId="176" fontId="13" fillId="0" borderId="0" xfId="0" applyNumberFormat="1" applyFont="1" applyAlignment="1">
      <alignment horizontal="right" vertical="center" wrapText="1"/>
    </xf>
    <xf numFmtId="215" fontId="13" fillId="0" borderId="0" xfId="0" applyNumberFormat="1" applyFont="1" applyAlignment="1">
      <alignment horizontal="center" vertical="center"/>
    </xf>
    <xf numFmtId="0" fontId="13" fillId="0" borderId="5" xfId="0" applyFont="1" applyBorder="1"/>
    <xf numFmtId="0" fontId="13" fillId="0" borderId="0" xfId="0" applyFont="1" applyAlignment="1">
      <alignment horizontal="right"/>
    </xf>
    <xf numFmtId="215" fontId="17" fillId="0" borderId="0" xfId="0" applyNumberFormat="1" applyFont="1" applyAlignment="1">
      <alignment horizontal="center" vertical="center"/>
    </xf>
    <xf numFmtId="218" fontId="13" fillId="0" borderId="0" xfId="0" applyNumberFormat="1" applyFont="1" applyAlignment="1">
      <alignment horizontal="center" vertical="center"/>
    </xf>
    <xf numFmtId="219" fontId="13" fillId="0" borderId="0" xfId="0" applyNumberFormat="1" applyFont="1" applyAlignment="1">
      <alignment horizontal="center" vertical="center"/>
    </xf>
    <xf numFmtId="220" fontId="13" fillId="0" borderId="0" xfId="0" applyNumberFormat="1" applyFont="1" applyAlignment="1">
      <alignment horizontal="center" vertical="center"/>
    </xf>
    <xf numFmtId="217" fontId="13" fillId="0" borderId="0" xfId="0" applyNumberFormat="1" applyFont="1" applyAlignment="1">
      <alignment horizontal="center" vertical="center"/>
    </xf>
    <xf numFmtId="216" fontId="13" fillId="0" borderId="0" xfId="0" applyNumberFormat="1" applyFont="1" applyAlignment="1">
      <alignment horizontal="center" vertical="center"/>
    </xf>
    <xf numFmtId="179" fontId="13" fillId="0" borderId="0" xfId="0" applyNumberFormat="1" applyFont="1" applyAlignment="1">
      <alignment horizontal="center" vertical="center"/>
    </xf>
    <xf numFmtId="0" fontId="13" fillId="0" borderId="4" xfId="0" applyFont="1" applyBorder="1" applyAlignment="1">
      <alignment horizontal="right"/>
    </xf>
    <xf numFmtId="164" fontId="13" fillId="0" borderId="0" xfId="0" applyNumberFormat="1" applyFont="1" applyAlignment="1">
      <alignment horizontal="left"/>
    </xf>
    <xf numFmtId="165" fontId="13" fillId="0" borderId="0" xfId="1" applyNumberFormat="1" applyFont="1" applyAlignment="1">
      <alignment horizontal="left" vertical="center"/>
    </xf>
    <xf numFmtId="221" fontId="13" fillId="0" borderId="0" xfId="0" applyNumberFormat="1" applyFont="1" applyAlignment="1">
      <alignment horizontal="center" vertical="center"/>
    </xf>
    <xf numFmtId="222" fontId="13" fillId="3" borderId="0" xfId="0" applyNumberFormat="1" applyFont="1" applyFill="1" applyAlignment="1">
      <alignment horizontal="center" vertical="center"/>
    </xf>
    <xf numFmtId="223" fontId="13" fillId="0" borderId="0" xfId="0" applyNumberFormat="1" applyFont="1"/>
    <xf numFmtId="224" fontId="13" fillId="0" borderId="5" xfId="0" applyNumberFormat="1" applyFont="1" applyBorder="1" applyAlignment="1">
      <alignment horizontal="center"/>
    </xf>
    <xf numFmtId="0" fontId="13" fillId="0" borderId="4" xfId="0" applyFont="1" applyBorder="1"/>
    <xf numFmtId="225" fontId="13" fillId="0" borderId="0" xfId="0" applyNumberFormat="1" applyFont="1" applyAlignment="1">
      <alignment horizontal="center" vertical="center"/>
    </xf>
    <xf numFmtId="222" fontId="13" fillId="0" borderId="0" xfId="0" applyNumberFormat="1" applyFont="1" applyAlignment="1">
      <alignment horizontal="center" vertical="center"/>
    </xf>
    <xf numFmtId="185" fontId="13" fillId="0" borderId="0" xfId="0" applyNumberFormat="1" applyFont="1" applyAlignment="1">
      <alignment horizontal="center" vertical="center"/>
    </xf>
    <xf numFmtId="196" fontId="22" fillId="0" borderId="5" xfId="0" applyNumberFormat="1" applyFont="1" applyBorder="1" applyAlignment="1">
      <alignment horizontal="center" vertical="center"/>
    </xf>
    <xf numFmtId="176" fontId="13" fillId="0" borderId="8" xfId="0" applyNumberFormat="1" applyFont="1" applyBorder="1" applyAlignment="1">
      <alignment horizontal="center" vertical="center" wrapText="1"/>
    </xf>
    <xf numFmtId="0" fontId="15" fillId="3" borderId="8" xfId="0" applyFont="1" applyFill="1" applyBorder="1" applyAlignment="1">
      <alignment horizontal="center" vertical="center" wrapText="1"/>
    </xf>
    <xf numFmtId="0" fontId="13" fillId="0" borderId="8" xfId="0" applyFont="1" applyBorder="1" applyAlignment="1">
      <alignment horizontal="center" vertical="center"/>
    </xf>
    <xf numFmtId="222" fontId="13" fillId="3" borderId="8" xfId="0" applyNumberFormat="1" applyFont="1" applyFill="1" applyBorder="1" applyAlignment="1">
      <alignment horizontal="center" vertical="center"/>
    </xf>
    <xf numFmtId="0" fontId="13" fillId="0" borderId="9" xfId="0" applyFont="1" applyBorder="1"/>
    <xf numFmtId="2" fontId="17" fillId="0" borderId="1" xfId="0" applyNumberFormat="1" applyFont="1" applyBorder="1" applyAlignment="1">
      <alignment horizontal="center" vertical="center" wrapText="1"/>
    </xf>
    <xf numFmtId="0" fontId="10" fillId="6" borderId="0" xfId="2" applyFont="1" applyFill="1" applyAlignment="1">
      <alignment horizontal="left" vertical="center" wrapText="1"/>
    </xf>
    <xf numFmtId="183" fontId="11" fillId="0" borderId="6" xfId="3" applyNumberFormat="1" applyFont="1" applyBorder="1" applyAlignment="1">
      <alignment horizontal="center" vertical="center"/>
    </xf>
    <xf numFmtId="187" fontId="13" fillId="0" borderId="6" xfId="0" applyNumberFormat="1" applyFont="1" applyBorder="1" applyAlignment="1" applyProtection="1">
      <alignment horizontal="center" vertical="center" wrapText="1"/>
      <protection locked="0"/>
    </xf>
    <xf numFmtId="226" fontId="26" fillId="7" borderId="6" xfId="0" applyNumberFormat="1" applyFont="1" applyFill="1" applyBorder="1" applyAlignment="1" applyProtection="1">
      <alignment horizontal="center" vertical="center" wrapText="1"/>
      <protection locked="0"/>
    </xf>
    <xf numFmtId="211" fontId="15" fillId="0" borderId="6" xfId="0" applyNumberFormat="1" applyFont="1" applyBorder="1" applyAlignment="1" applyProtection="1">
      <alignment horizontal="center" vertical="center" wrapText="1"/>
      <protection locked="0"/>
    </xf>
    <xf numFmtId="2" fontId="13" fillId="0" borderId="6" xfId="0" applyNumberFormat="1" applyFont="1" applyBorder="1" applyAlignment="1">
      <alignment horizontal="center" vertical="center" wrapText="1"/>
    </xf>
    <xf numFmtId="2" fontId="13" fillId="0" borderId="22" xfId="0" applyNumberFormat="1" applyFont="1" applyBorder="1" applyAlignment="1">
      <alignment horizontal="center" vertical="center" wrapText="1"/>
    </xf>
    <xf numFmtId="0" fontId="8" fillId="0" borderId="0" xfId="0" applyFont="1"/>
    <xf numFmtId="0" fontId="15" fillId="0" borderId="0" xfId="0" applyFont="1" applyAlignment="1">
      <alignment horizontal="left"/>
    </xf>
    <xf numFmtId="0" fontId="15" fillId="0" borderId="0" xfId="0" applyFont="1"/>
    <xf numFmtId="0" fontId="15" fillId="0" borderId="0" xfId="0" applyFont="1" applyAlignment="1">
      <alignment horizontal="center" vertical="center"/>
    </xf>
    <xf numFmtId="176" fontId="15" fillId="0" borderId="10" xfId="0" applyNumberFormat="1" applyFont="1" applyBorder="1" applyAlignment="1">
      <alignment horizontal="center" vertical="center" wrapText="1"/>
    </xf>
    <xf numFmtId="176" fontId="15" fillId="0" borderId="11" xfId="0" applyNumberFormat="1" applyFont="1" applyBorder="1" applyAlignment="1">
      <alignment horizontal="center" vertical="center" wrapText="1"/>
    </xf>
    <xf numFmtId="176" fontId="21" fillId="0" borderId="30" xfId="0" applyNumberFormat="1" applyFont="1" applyBorder="1" applyAlignment="1">
      <alignment vertical="center"/>
    </xf>
    <xf numFmtId="176" fontId="33" fillId="0" borderId="31" xfId="0" applyNumberFormat="1" applyFont="1" applyBorder="1" applyAlignment="1">
      <alignment horizontal="left" vertical="center" wrapText="1"/>
    </xf>
    <xf numFmtId="176" fontId="33" fillId="0" borderId="31" xfId="0" applyNumberFormat="1" applyFont="1" applyBorder="1" applyAlignment="1">
      <alignment vertical="center" wrapText="1"/>
    </xf>
    <xf numFmtId="176" fontId="33" fillId="0" borderId="31" xfId="0" applyNumberFormat="1" applyFont="1" applyBorder="1" applyAlignment="1">
      <alignment horizontal="center" vertical="center" wrapText="1"/>
    </xf>
    <xf numFmtId="178" fontId="33" fillId="0" borderId="31" xfId="0" applyNumberFormat="1" applyFont="1" applyBorder="1" applyAlignment="1">
      <alignment horizontal="center" vertical="center" wrapText="1"/>
    </xf>
    <xf numFmtId="0" fontId="33" fillId="0" borderId="31" xfId="0" applyFont="1" applyBorder="1" applyAlignment="1">
      <alignment horizontal="center" vertical="center" wrapText="1"/>
    </xf>
    <xf numFmtId="176" fontId="15" fillId="0" borderId="16" xfId="0" applyNumberFormat="1" applyFont="1" applyBorder="1" applyAlignment="1">
      <alignment horizontal="center" vertical="center" wrapText="1"/>
    </xf>
    <xf numFmtId="0" fontId="15" fillId="0" borderId="17" xfId="0" applyFont="1" applyBorder="1" applyAlignment="1">
      <alignment horizontal="left"/>
    </xf>
    <xf numFmtId="181" fontId="15" fillId="0" borderId="17" xfId="0" applyNumberFormat="1" applyFont="1" applyBorder="1" applyAlignment="1">
      <alignment horizontal="center" vertical="center"/>
    </xf>
    <xf numFmtId="186" fontId="15" fillId="0" borderId="17" xfId="0" applyNumberFormat="1" applyFont="1" applyBorder="1" applyAlignment="1">
      <alignment horizontal="center" vertical="center" wrapText="1"/>
    </xf>
    <xf numFmtId="176" fontId="15" fillId="0" borderId="19" xfId="0" applyNumberFormat="1" applyFont="1" applyBorder="1" applyAlignment="1">
      <alignment horizontal="center" vertical="center" wrapText="1"/>
    </xf>
    <xf numFmtId="0" fontId="15" fillId="0" borderId="6" xfId="0" applyFont="1" applyBorder="1" applyAlignment="1">
      <alignment horizontal="left"/>
    </xf>
    <xf numFmtId="181" fontId="15" fillId="0" borderId="6" xfId="0" applyNumberFormat="1" applyFont="1" applyBorder="1" applyAlignment="1">
      <alignment horizontal="center" vertical="center"/>
    </xf>
    <xf numFmtId="191" fontId="15" fillId="0" borderId="6" xfId="0" applyNumberFormat="1" applyFont="1" applyBorder="1" applyAlignment="1">
      <alignment horizontal="center" vertical="center"/>
    </xf>
    <xf numFmtId="0" fontId="15" fillId="6" borderId="6" xfId="0" applyFont="1" applyFill="1" applyBorder="1" applyAlignment="1">
      <alignment horizontal="left"/>
    </xf>
    <xf numFmtId="181" fontId="15" fillId="6" borderId="6" xfId="0" applyNumberFormat="1" applyFont="1" applyFill="1" applyBorder="1" applyAlignment="1">
      <alignment horizontal="center" vertical="center"/>
    </xf>
    <xf numFmtId="192" fontId="15" fillId="6" borderId="6" xfId="0" applyNumberFormat="1" applyFont="1" applyFill="1" applyBorder="1" applyAlignment="1">
      <alignment horizontal="center" vertical="center"/>
    </xf>
    <xf numFmtId="186" fontId="15" fillId="6" borderId="6" xfId="0" applyNumberFormat="1" applyFont="1" applyFill="1" applyBorder="1" applyAlignment="1">
      <alignment horizontal="center" vertical="center" wrapText="1"/>
    </xf>
    <xf numFmtId="191" fontId="15" fillId="6" borderId="6" xfId="0" applyNumberFormat="1" applyFont="1" applyFill="1" applyBorder="1" applyAlignment="1">
      <alignment horizontal="center" vertical="center"/>
    </xf>
    <xf numFmtId="0" fontId="15" fillId="3" borderId="6" xfId="0" applyFont="1" applyFill="1" applyBorder="1" applyAlignment="1">
      <alignment horizontal="left"/>
    </xf>
    <xf numFmtId="181" fontId="15" fillId="3" borderId="6" xfId="0" applyNumberFormat="1" applyFont="1" applyFill="1" applyBorder="1" applyAlignment="1">
      <alignment horizontal="center" vertical="center"/>
    </xf>
    <xf numFmtId="186" fontId="15" fillId="3" borderId="6" xfId="0" applyNumberFormat="1" applyFont="1" applyFill="1" applyBorder="1" applyAlignment="1">
      <alignment horizontal="center" vertical="center" wrapText="1"/>
    </xf>
    <xf numFmtId="191" fontId="15" fillId="3" borderId="6" xfId="0" applyNumberFormat="1" applyFont="1" applyFill="1" applyBorder="1" applyAlignment="1">
      <alignment horizontal="center" vertical="center"/>
    </xf>
    <xf numFmtId="176" fontId="15" fillId="0" borderId="32" xfId="0" applyNumberFormat="1" applyFont="1" applyBorder="1" applyAlignment="1">
      <alignment horizontal="center" vertical="center" wrapText="1"/>
    </xf>
    <xf numFmtId="0" fontId="15" fillId="0" borderId="13" xfId="0" applyFont="1" applyBorder="1" applyAlignment="1">
      <alignment horizontal="left"/>
    </xf>
    <xf numFmtId="181" fontId="15" fillId="0" borderId="13" xfId="0" applyNumberFormat="1" applyFont="1" applyBorder="1" applyAlignment="1">
      <alignment horizontal="center" vertical="center"/>
    </xf>
    <xf numFmtId="186" fontId="15" fillId="0" borderId="13" xfId="0" applyNumberFormat="1" applyFont="1" applyBorder="1" applyAlignment="1">
      <alignment horizontal="center" vertical="center" wrapText="1"/>
    </xf>
    <xf numFmtId="191" fontId="15" fillId="0" borderId="13" xfId="0" applyNumberFormat="1" applyFont="1" applyBorder="1" applyAlignment="1">
      <alignment horizontal="center" vertical="center"/>
    </xf>
    <xf numFmtId="0" fontId="15" fillId="0" borderId="17" xfId="0" applyFont="1" applyBorder="1" applyAlignment="1">
      <alignment horizontal="left" vertical="center"/>
    </xf>
    <xf numFmtId="191" fontId="15" fillId="0" borderId="17" xfId="0" applyNumberFormat="1" applyFont="1" applyBorder="1" applyAlignment="1">
      <alignment horizontal="center" vertical="center" wrapText="1"/>
    </xf>
    <xf numFmtId="191" fontId="15" fillId="0" borderId="6" xfId="0" applyNumberFormat="1" applyFont="1" applyBorder="1" applyAlignment="1">
      <alignment horizontal="center" vertical="center" wrapText="1"/>
    </xf>
    <xf numFmtId="176" fontId="15" fillId="0" borderId="21" xfId="0" applyNumberFormat="1" applyFont="1" applyBorder="1" applyAlignment="1">
      <alignment horizontal="center" vertical="center" wrapText="1"/>
    </xf>
    <xf numFmtId="181" fontId="15" fillId="0" borderId="22" xfId="0" applyNumberFormat="1" applyFont="1" applyBorder="1" applyAlignment="1">
      <alignment horizontal="center" vertical="center"/>
    </xf>
    <xf numFmtId="186" fontId="15" fillId="0" borderId="22" xfId="0" applyNumberFormat="1" applyFont="1" applyBorder="1" applyAlignment="1">
      <alignment horizontal="center" vertical="center" wrapText="1"/>
    </xf>
    <xf numFmtId="191" fontId="15" fillId="0" borderId="22" xfId="0" applyNumberFormat="1" applyFont="1" applyBorder="1" applyAlignment="1">
      <alignment horizontal="center" vertical="center" wrapText="1"/>
    </xf>
    <xf numFmtId="0" fontId="15" fillId="0" borderId="22" xfId="0" applyFont="1" applyBorder="1" applyAlignment="1">
      <alignment horizontal="left"/>
    </xf>
    <xf numFmtId="191" fontId="15" fillId="0" borderId="22" xfId="0" applyNumberFormat="1" applyFont="1" applyBorder="1" applyAlignment="1">
      <alignment horizontal="center" vertical="center"/>
    </xf>
    <xf numFmtId="0" fontId="15" fillId="0" borderId="12" xfId="0" applyFont="1" applyBorder="1" applyAlignment="1">
      <alignment horizontal="left" vertical="center"/>
    </xf>
    <xf numFmtId="183" fontId="15" fillId="0" borderId="12" xfId="0" applyNumberFormat="1" applyFont="1" applyBorder="1" applyAlignment="1">
      <alignment horizontal="center" vertical="center"/>
    </xf>
    <xf numFmtId="191" fontId="15" fillId="0" borderId="12" xfId="0" applyNumberFormat="1" applyFont="1" applyBorder="1" applyAlignment="1">
      <alignment horizontal="center" vertical="center"/>
    </xf>
    <xf numFmtId="0" fontId="15" fillId="6" borderId="6" xfId="0" applyFont="1" applyFill="1" applyBorder="1" applyAlignment="1">
      <alignment horizontal="left" vertical="center"/>
    </xf>
    <xf numFmtId="183" fontId="15" fillId="6" borderId="6" xfId="0" applyNumberFormat="1" applyFont="1" applyFill="1" applyBorder="1" applyAlignment="1">
      <alignment horizontal="center" vertical="center"/>
    </xf>
    <xf numFmtId="0" fontId="15" fillId="3" borderId="6" xfId="0" applyFont="1" applyFill="1" applyBorder="1" applyAlignment="1">
      <alignment horizontal="left" vertical="center"/>
    </xf>
    <xf numFmtId="183" fontId="15" fillId="3" borderId="6" xfId="0" applyNumberFormat="1" applyFont="1" applyFill="1" applyBorder="1" applyAlignment="1">
      <alignment horizontal="center" vertical="center"/>
    </xf>
    <xf numFmtId="0" fontId="15" fillId="0" borderId="13" xfId="0" applyFont="1" applyBorder="1" applyAlignment="1">
      <alignment horizontal="left" vertical="center"/>
    </xf>
    <xf numFmtId="183" fontId="15" fillId="0" borderId="13" xfId="0" applyNumberFormat="1" applyFont="1" applyBorder="1" applyAlignment="1">
      <alignment horizontal="center" vertical="center"/>
    </xf>
    <xf numFmtId="183" fontId="15" fillId="0" borderId="17" xfId="0" applyNumberFormat="1" applyFont="1" applyBorder="1" applyAlignment="1">
      <alignment horizontal="center" vertical="center"/>
    </xf>
    <xf numFmtId="194" fontId="15" fillId="0" borderId="17" xfId="0" applyNumberFormat="1" applyFont="1" applyBorder="1" applyAlignment="1">
      <alignment horizontal="center" vertical="center"/>
    </xf>
    <xf numFmtId="194" fontId="15" fillId="0" borderId="6" xfId="0" applyNumberFormat="1" applyFont="1" applyBorder="1" applyAlignment="1">
      <alignment horizontal="center" vertical="center"/>
    </xf>
    <xf numFmtId="194" fontId="15" fillId="0" borderId="13" xfId="0" applyNumberFormat="1" applyFont="1" applyBorder="1" applyAlignment="1">
      <alignment horizontal="center" vertical="center"/>
    </xf>
    <xf numFmtId="176" fontId="15" fillId="0" borderId="14" xfId="0" applyNumberFormat="1" applyFont="1" applyBorder="1" applyAlignment="1">
      <alignment horizontal="center" vertical="center" wrapText="1"/>
    </xf>
    <xf numFmtId="184" fontId="15" fillId="0" borderId="6" xfId="0" applyNumberFormat="1" applyFont="1" applyBorder="1" applyAlignment="1">
      <alignment horizontal="center" vertical="center" wrapText="1"/>
    </xf>
    <xf numFmtId="176" fontId="15" fillId="0" borderId="27" xfId="0" applyNumberFormat="1" applyFont="1" applyBorder="1" applyAlignment="1">
      <alignment horizontal="center" vertical="center" wrapText="1"/>
    </xf>
    <xf numFmtId="184" fontId="15" fillId="0" borderId="22" xfId="0" applyNumberFormat="1" applyFont="1" applyBorder="1" applyAlignment="1">
      <alignment horizontal="center" vertical="center" wrapText="1"/>
    </xf>
    <xf numFmtId="195" fontId="15" fillId="0" borderId="12" xfId="0" applyNumberFormat="1" applyFont="1" applyBorder="1" applyAlignment="1">
      <alignment horizontal="center" vertical="center" wrapText="1"/>
    </xf>
    <xf numFmtId="196" fontId="15" fillId="0" borderId="12" xfId="0" applyNumberFormat="1" applyFont="1" applyBorder="1" applyAlignment="1">
      <alignment horizontal="center" vertical="center"/>
    </xf>
    <xf numFmtId="195" fontId="15" fillId="6" borderId="12" xfId="0" applyNumberFormat="1" applyFont="1" applyFill="1" applyBorder="1" applyAlignment="1">
      <alignment horizontal="center" vertical="center" wrapText="1"/>
    </xf>
    <xf numFmtId="196" fontId="15" fillId="6" borderId="6" xfId="0" applyNumberFormat="1" applyFont="1" applyFill="1" applyBorder="1" applyAlignment="1">
      <alignment horizontal="center" vertical="center"/>
    </xf>
    <xf numFmtId="196" fontId="15" fillId="0" borderId="13" xfId="0" applyNumberFormat="1" applyFont="1" applyBorder="1" applyAlignment="1">
      <alignment horizontal="center" vertical="center"/>
    </xf>
    <xf numFmtId="195" fontId="15" fillId="0" borderId="17" xfId="0" applyNumberFormat="1" applyFont="1" applyBorder="1" applyAlignment="1">
      <alignment horizontal="center" vertical="center" wrapText="1"/>
    </xf>
    <xf numFmtId="196" fontId="15" fillId="0" borderId="17" xfId="0" applyNumberFormat="1" applyFont="1" applyBorder="1" applyAlignment="1">
      <alignment horizontal="center" vertical="center"/>
    </xf>
    <xf numFmtId="195" fontId="15" fillId="6" borderId="6" xfId="0" applyNumberFormat="1" applyFont="1" applyFill="1" applyBorder="1" applyAlignment="1">
      <alignment horizontal="center" vertical="center" wrapText="1"/>
    </xf>
    <xf numFmtId="195" fontId="15" fillId="0" borderId="13" xfId="0" applyNumberFormat="1" applyFont="1" applyBorder="1" applyAlignment="1">
      <alignment horizontal="center" vertical="center" wrapText="1"/>
    </xf>
    <xf numFmtId="184" fontId="15" fillId="0" borderId="17" xfId="0" applyNumberFormat="1" applyFont="1" applyBorder="1" applyAlignment="1">
      <alignment horizontal="center" vertical="center" wrapText="1"/>
    </xf>
    <xf numFmtId="184" fontId="15" fillId="0" borderId="12" xfId="0" applyNumberFormat="1" applyFont="1" applyBorder="1" applyAlignment="1">
      <alignment horizontal="center" vertical="center" wrapText="1"/>
    </xf>
    <xf numFmtId="0" fontId="15" fillId="6" borderId="22" xfId="0" applyFont="1" applyFill="1" applyBorder="1" applyAlignment="1">
      <alignment horizontal="left" vertical="center"/>
    </xf>
    <xf numFmtId="183" fontId="15" fillId="6" borderId="22" xfId="0" applyNumberFormat="1" applyFont="1" applyFill="1" applyBorder="1" applyAlignment="1">
      <alignment horizontal="center" vertical="center"/>
    </xf>
    <xf numFmtId="192" fontId="15" fillId="6" borderId="22" xfId="0" applyNumberFormat="1" applyFont="1" applyFill="1" applyBorder="1" applyAlignment="1">
      <alignment horizontal="center" vertical="center"/>
    </xf>
    <xf numFmtId="184" fontId="15" fillId="6" borderId="28" xfId="0" applyNumberFormat="1" applyFont="1" applyFill="1" applyBorder="1" applyAlignment="1">
      <alignment horizontal="center" vertical="center" wrapText="1"/>
    </xf>
    <xf numFmtId="191" fontId="15" fillId="6" borderId="22" xfId="0" applyNumberFormat="1" applyFont="1" applyFill="1" applyBorder="1" applyAlignment="1">
      <alignment horizontal="center" vertical="center"/>
    </xf>
    <xf numFmtId="184" fontId="15" fillId="0" borderId="15" xfId="0" applyNumberFormat="1" applyFont="1" applyBorder="1" applyAlignment="1">
      <alignment horizontal="center" vertical="center" wrapText="1"/>
    </xf>
    <xf numFmtId="199" fontId="15" fillId="0" borderId="17" xfId="0" applyNumberFormat="1" applyFont="1" applyBorder="1" applyAlignment="1">
      <alignment horizontal="center" vertical="center"/>
    </xf>
    <xf numFmtId="183" fontId="21" fillId="0" borderId="12" xfId="0" applyNumberFormat="1" applyFont="1" applyBorder="1" applyAlignment="1">
      <alignment horizontal="center" vertical="center"/>
    </xf>
    <xf numFmtId="199" fontId="15" fillId="0" borderId="12" xfId="0" applyNumberFormat="1" applyFont="1" applyBorder="1" applyAlignment="1">
      <alignment horizontal="center" vertical="center"/>
    </xf>
    <xf numFmtId="0" fontId="15" fillId="3" borderId="12" xfId="0" applyFont="1" applyFill="1" applyBorder="1" applyAlignment="1">
      <alignment horizontal="left" vertical="center"/>
    </xf>
    <xf numFmtId="183" fontId="15" fillId="3" borderId="12" xfId="0" applyNumberFormat="1" applyFont="1" applyFill="1" applyBorder="1" applyAlignment="1">
      <alignment horizontal="center" vertical="center"/>
    </xf>
    <xf numFmtId="184" fontId="15" fillId="3" borderId="6" xfId="0" applyNumberFormat="1" applyFont="1" applyFill="1" applyBorder="1" applyAlignment="1">
      <alignment horizontal="center" vertical="center" wrapText="1"/>
    </xf>
    <xf numFmtId="199" fontId="15" fillId="3" borderId="12" xfId="0" applyNumberFormat="1" applyFont="1" applyFill="1" applyBorder="1" applyAlignment="1">
      <alignment horizontal="center" vertical="center"/>
    </xf>
    <xf numFmtId="183" fontId="15" fillId="0" borderId="31" xfId="0" applyNumberFormat="1" applyFont="1" applyBorder="1" applyAlignment="1">
      <alignment horizontal="center" vertical="center"/>
    </xf>
    <xf numFmtId="199" fontId="15" fillId="0" borderId="31" xfId="0" applyNumberFormat="1" applyFont="1" applyBorder="1" applyAlignment="1">
      <alignment horizontal="center" vertical="center"/>
    </xf>
    <xf numFmtId="183" fontId="21" fillId="0" borderId="13" xfId="0" applyNumberFormat="1" applyFont="1" applyBorder="1" applyAlignment="1">
      <alignment horizontal="center" vertical="center"/>
    </xf>
    <xf numFmtId="184" fontId="15" fillId="0" borderId="13" xfId="0" applyNumberFormat="1" applyFont="1" applyBorder="1" applyAlignment="1">
      <alignment horizontal="center" vertical="center" wrapText="1"/>
    </xf>
    <xf numFmtId="199" fontId="15" fillId="0" borderId="13" xfId="0" applyNumberFormat="1" applyFont="1" applyBorder="1" applyAlignment="1">
      <alignment horizontal="center" vertical="center"/>
    </xf>
    <xf numFmtId="0" fontId="15" fillId="0" borderId="16" xfId="0" applyFont="1" applyBorder="1" applyAlignment="1">
      <alignment horizontal="left" vertical="center"/>
    </xf>
    <xf numFmtId="0" fontId="15" fillId="0" borderId="21" xfId="0" applyFont="1" applyBorder="1" applyAlignment="1">
      <alignment horizontal="left" vertical="center"/>
    </xf>
    <xf numFmtId="199" fontId="15" fillId="0" borderId="28" xfId="0" applyNumberFormat="1" applyFont="1" applyBorder="1" applyAlignment="1">
      <alignment horizontal="center" vertical="center"/>
    </xf>
    <xf numFmtId="176" fontId="15" fillId="0" borderId="17" xfId="0" applyNumberFormat="1" applyFont="1" applyBorder="1" applyAlignment="1">
      <alignment horizontal="center" vertical="center"/>
    </xf>
    <xf numFmtId="176" fontId="15" fillId="0" borderId="22" xfId="0" applyNumberFormat="1" applyFont="1" applyBorder="1" applyAlignment="1">
      <alignment horizontal="center" vertical="center"/>
    </xf>
    <xf numFmtId="203" fontId="15" fillId="0" borderId="17" xfId="0" applyNumberFormat="1" applyFont="1" applyBorder="1" applyAlignment="1">
      <alignment horizontal="center" vertical="center"/>
    </xf>
    <xf numFmtId="203" fontId="15" fillId="0" borderId="6" xfId="0" applyNumberFormat="1" applyFont="1" applyBorder="1" applyAlignment="1">
      <alignment horizontal="center" vertical="center"/>
    </xf>
    <xf numFmtId="203" fontId="15" fillId="3" borderId="6" xfId="0" applyNumberFormat="1" applyFont="1" applyFill="1" applyBorder="1" applyAlignment="1">
      <alignment horizontal="center" vertical="center"/>
    </xf>
    <xf numFmtId="0" fontId="15" fillId="0" borderId="13" xfId="0" applyFont="1" applyBorder="1" applyAlignment="1">
      <alignment vertical="center" wrapText="1"/>
    </xf>
    <xf numFmtId="203" fontId="15" fillId="0" borderId="13" xfId="0" applyNumberFormat="1" applyFont="1" applyBorder="1" applyAlignment="1">
      <alignment vertical="center"/>
    </xf>
    <xf numFmtId="203" fontId="15" fillId="0" borderId="13" xfId="0" applyNumberFormat="1" applyFont="1" applyBorder="1" applyAlignment="1">
      <alignment horizontal="center" vertical="center"/>
    </xf>
    <xf numFmtId="4" fontId="15" fillId="0" borderId="17" xfId="0" applyNumberFormat="1" applyFont="1" applyBorder="1" applyAlignment="1">
      <alignment horizontal="center" vertical="center"/>
    </xf>
    <xf numFmtId="4" fontId="15" fillId="0" borderId="6" xfId="0" applyNumberFormat="1" applyFont="1" applyBorder="1" applyAlignment="1">
      <alignment horizontal="center" vertical="center"/>
    </xf>
    <xf numFmtId="4" fontId="15" fillId="0" borderId="22" xfId="0" applyNumberFormat="1" applyFont="1" applyBorder="1" applyAlignment="1">
      <alignment horizontal="center" vertical="center"/>
    </xf>
    <xf numFmtId="201" fontId="15" fillId="0" borderId="17" xfId="0" applyNumberFormat="1" applyFont="1" applyBorder="1" applyAlignment="1">
      <alignment horizontal="center" vertical="center" wrapText="1"/>
    </xf>
    <xf numFmtId="0" fontId="15" fillId="0" borderId="28" xfId="0" applyFont="1" applyBorder="1" applyAlignment="1">
      <alignment horizontal="left" vertical="center"/>
    </xf>
    <xf numFmtId="183" fontId="15" fillId="0" borderId="28" xfId="0" applyNumberFormat="1" applyFont="1" applyBorder="1" applyAlignment="1">
      <alignment horizontal="center" vertical="center"/>
    </xf>
    <xf numFmtId="192" fontId="15" fillId="0" borderId="28" xfId="0" applyNumberFormat="1" applyFont="1" applyBorder="1" applyAlignment="1">
      <alignment horizontal="center" vertical="center"/>
    </xf>
    <xf numFmtId="184" fontId="15" fillId="0" borderId="28" xfId="0" applyNumberFormat="1" applyFont="1" applyBorder="1" applyAlignment="1">
      <alignment horizontal="center" vertical="center" wrapText="1"/>
    </xf>
    <xf numFmtId="0" fontId="15" fillId="6" borderId="13" xfId="0" applyFont="1" applyFill="1" applyBorder="1" applyAlignment="1">
      <alignment horizontal="left" vertical="center"/>
    </xf>
    <xf numFmtId="183" fontId="15" fillId="6" borderId="13" xfId="0" applyNumberFormat="1" applyFont="1" applyFill="1" applyBorder="1" applyAlignment="1">
      <alignment horizontal="center" vertical="center"/>
    </xf>
    <xf numFmtId="192" fontId="15" fillId="6" borderId="13" xfId="0" applyNumberFormat="1" applyFont="1" applyFill="1" applyBorder="1" applyAlignment="1">
      <alignment horizontal="center" vertical="center"/>
    </xf>
    <xf numFmtId="195" fontId="15" fillId="6" borderId="13" xfId="0" applyNumberFormat="1" applyFont="1" applyFill="1" applyBorder="1" applyAlignment="1">
      <alignment horizontal="center" vertical="center" wrapText="1"/>
    </xf>
    <xf numFmtId="196" fontId="15" fillId="6" borderId="13" xfId="0" applyNumberFormat="1" applyFont="1" applyFill="1" applyBorder="1" applyAlignment="1">
      <alignment horizontal="center" vertical="center"/>
    </xf>
    <xf numFmtId="0" fontId="15" fillId="6" borderId="12" xfId="0" applyFont="1" applyFill="1" applyBorder="1" applyAlignment="1">
      <alignment horizontal="left" vertical="center"/>
    </xf>
    <xf numFmtId="183" fontId="15" fillId="6" borderId="12" xfId="0" applyNumberFormat="1" applyFont="1" applyFill="1" applyBorder="1" applyAlignment="1">
      <alignment horizontal="center" vertical="center"/>
    </xf>
    <xf numFmtId="192" fontId="15" fillId="6" borderId="12" xfId="0" applyNumberFormat="1" applyFont="1" applyFill="1" applyBorder="1" applyAlignment="1">
      <alignment horizontal="center" vertical="center"/>
    </xf>
    <xf numFmtId="196" fontId="15" fillId="6" borderId="12" xfId="0" applyNumberFormat="1" applyFont="1" applyFill="1" applyBorder="1" applyAlignment="1">
      <alignment horizontal="center" vertical="center"/>
    </xf>
    <xf numFmtId="0" fontId="15" fillId="0" borderId="0" xfId="0" applyFont="1" applyAlignment="1">
      <alignment horizontal="left" vertical="center"/>
    </xf>
    <xf numFmtId="0" fontId="15" fillId="0" borderId="16" xfId="0" applyFont="1" applyBorder="1"/>
    <xf numFmtId="0" fontId="15" fillId="0" borderId="17" xfId="0" applyFont="1" applyBorder="1"/>
    <xf numFmtId="0" fontId="15" fillId="0" borderId="17" xfId="0" applyFont="1" applyBorder="1" applyAlignment="1">
      <alignment horizontal="center" vertical="center"/>
    </xf>
    <xf numFmtId="0" fontId="15" fillId="0" borderId="19" xfId="0" applyFont="1" applyBorder="1"/>
    <xf numFmtId="0" fontId="15" fillId="0" borderId="13" xfId="0" applyFont="1" applyBorder="1"/>
    <xf numFmtId="0" fontId="15" fillId="0" borderId="13" xfId="0" applyFont="1" applyBorder="1" applyAlignment="1">
      <alignment horizontal="center" vertical="center"/>
    </xf>
    <xf numFmtId="0" fontId="15" fillId="0" borderId="6" xfId="0" applyFont="1" applyBorder="1"/>
    <xf numFmtId="0" fontId="15" fillId="0" borderId="6" xfId="0" applyFont="1" applyBorder="1" applyAlignment="1">
      <alignment horizontal="center" vertical="center"/>
    </xf>
    <xf numFmtId="0" fontId="15" fillId="0" borderId="22" xfId="0" applyFont="1" applyBorder="1"/>
    <xf numFmtId="0" fontId="15" fillId="0" borderId="22" xfId="0" applyFont="1" applyBorder="1" applyAlignment="1">
      <alignment horizontal="center" vertical="center"/>
    </xf>
    <xf numFmtId="233" fontId="13" fillId="0" borderId="0" xfId="0" applyNumberFormat="1" applyFont="1" applyAlignment="1">
      <alignment horizontal="center" vertical="center"/>
    </xf>
    <xf numFmtId="0" fontId="10" fillId="0" borderId="0" xfId="9" applyFont="1" applyAlignment="1">
      <alignment horizontal="left" vertical="center" wrapText="1"/>
    </xf>
    <xf numFmtId="0" fontId="10" fillId="0" borderId="0" xfId="9" applyFont="1" applyAlignment="1">
      <alignment horizontal="left" vertical="center"/>
    </xf>
    <xf numFmtId="0" fontId="10" fillId="0" borderId="0" xfId="9" applyFont="1" applyAlignment="1">
      <alignment horizontal="center" vertical="center"/>
    </xf>
    <xf numFmtId="230" fontId="10" fillId="0" borderId="0" xfId="9" applyNumberFormat="1" applyFont="1" applyAlignment="1">
      <alignment horizontal="center" vertical="center"/>
    </xf>
    <xf numFmtId="4" fontId="34" fillId="0" borderId="0" xfId="9" applyNumberFormat="1" applyFont="1" applyAlignment="1">
      <alignment horizontal="center" vertical="center"/>
    </xf>
    <xf numFmtId="0" fontId="10" fillId="6" borderId="0" xfId="9" applyFont="1" applyFill="1" applyAlignment="1">
      <alignment horizontal="left" vertical="center" wrapText="1"/>
    </xf>
    <xf numFmtId="0" fontId="10" fillId="6" borderId="0" xfId="9" applyFont="1" applyFill="1" applyAlignment="1">
      <alignment horizontal="left" vertical="center"/>
    </xf>
    <xf numFmtId="0" fontId="10" fillId="6" borderId="0" xfId="9" applyFont="1" applyFill="1" applyAlignment="1">
      <alignment horizontal="center" vertical="center"/>
    </xf>
    <xf numFmtId="230" fontId="10" fillId="6" borderId="0" xfId="9" applyNumberFormat="1" applyFont="1" applyFill="1" applyAlignment="1">
      <alignment horizontal="center" vertical="center"/>
    </xf>
    <xf numFmtId="4" fontId="16" fillId="0" borderId="0" xfId="9" applyNumberFormat="1" applyFont="1" applyAlignment="1">
      <alignment horizontal="center" vertical="center"/>
    </xf>
    <xf numFmtId="176" fontId="11" fillId="0" borderId="0" xfId="9" applyNumberFormat="1" applyFont="1" applyAlignment="1">
      <alignment horizontal="center" vertical="center"/>
    </xf>
    <xf numFmtId="0" fontId="11" fillId="0" borderId="0" xfId="9" applyFont="1" applyAlignment="1">
      <alignment horizontal="center" vertical="center"/>
    </xf>
    <xf numFmtId="1" fontId="11" fillId="0" borderId="0" xfId="9" applyNumberFormat="1" applyFont="1" applyAlignment="1">
      <alignment horizontal="center" vertical="center"/>
    </xf>
    <xf numFmtId="0" fontId="9" fillId="0" borderId="0" xfId="9" applyFont="1" applyAlignment="1">
      <alignment horizontal="left" vertical="center" wrapText="1"/>
    </xf>
    <xf numFmtId="0" fontId="9" fillId="0" borderId="0" xfId="9" applyFont="1" applyAlignment="1">
      <alignment horizontal="left" vertical="center"/>
    </xf>
    <xf numFmtId="0" fontId="9" fillId="0" borderId="0" xfId="9" applyFont="1" applyAlignment="1">
      <alignment horizontal="center" vertical="center"/>
    </xf>
    <xf numFmtId="230" fontId="9" fillId="0" borderId="0" xfId="9" applyNumberFormat="1" applyFont="1" applyAlignment="1">
      <alignment horizontal="center" vertical="center"/>
    </xf>
    <xf numFmtId="0" fontId="16" fillId="0" borderId="0" xfId="9" applyFont="1" applyAlignment="1">
      <alignment horizontal="center" vertical="center"/>
    </xf>
    <xf numFmtId="0" fontId="35" fillId="7" borderId="11" xfId="10" applyFont="1" applyFill="1" applyBorder="1" applyAlignment="1">
      <alignment horizontal="center"/>
    </xf>
    <xf numFmtId="0" fontId="35" fillId="7" borderId="43" xfId="10" applyFont="1" applyFill="1" applyBorder="1" applyAlignment="1">
      <alignment horizontal="center"/>
    </xf>
    <xf numFmtId="234" fontId="16" fillId="0" borderId="0" xfId="9" applyNumberFormat="1" applyFont="1" applyAlignment="1">
      <alignment horizontal="center" vertical="center"/>
    </xf>
    <xf numFmtId="176" fontId="36" fillId="8" borderId="12" xfId="10" applyNumberFormat="1" applyFont="1" applyFill="1" applyBorder="1" applyAlignment="1">
      <alignment horizontal="center"/>
    </xf>
    <xf numFmtId="1" fontId="36" fillId="8" borderId="12" xfId="10" applyNumberFormat="1" applyFont="1" applyFill="1" applyBorder="1" applyAlignment="1">
      <alignment horizontal="center"/>
    </xf>
    <xf numFmtId="1" fontId="36" fillId="8" borderId="44" xfId="10" applyNumberFormat="1" applyFont="1" applyFill="1" applyBorder="1" applyAlignment="1">
      <alignment horizontal="center"/>
    </xf>
    <xf numFmtId="176" fontId="36" fillId="8" borderId="17" xfId="10" applyNumberFormat="1" applyFont="1" applyFill="1" applyBorder="1" applyAlignment="1">
      <alignment horizontal="center"/>
    </xf>
    <xf numFmtId="1" fontId="36" fillId="8" borderId="17" xfId="10" applyNumberFormat="1" applyFont="1" applyFill="1" applyBorder="1" applyAlignment="1">
      <alignment horizontal="center"/>
    </xf>
    <xf numFmtId="0" fontId="12" fillId="0" borderId="0" xfId="9" applyFont="1" applyAlignment="1">
      <alignment horizontal="center" vertical="center"/>
    </xf>
    <xf numFmtId="2" fontId="16" fillId="0" borderId="0" xfId="9" applyNumberFormat="1" applyFont="1" applyAlignment="1">
      <alignment horizontal="center" vertical="center"/>
    </xf>
    <xf numFmtId="176" fontId="36" fillId="8" borderId="6" xfId="10" applyNumberFormat="1" applyFont="1" applyFill="1" applyBorder="1" applyAlignment="1">
      <alignment horizontal="center"/>
    </xf>
    <xf numFmtId="1" fontId="36" fillId="8" borderId="6" xfId="10" applyNumberFormat="1" applyFont="1" applyFill="1" applyBorder="1" applyAlignment="1">
      <alignment horizontal="center"/>
    </xf>
    <xf numFmtId="1" fontId="36" fillId="8" borderId="18" xfId="10" applyNumberFormat="1" applyFont="1" applyFill="1" applyBorder="1" applyAlignment="1">
      <alignment horizontal="center"/>
    </xf>
    <xf numFmtId="0" fontId="16" fillId="0" borderId="0" xfId="9" applyFont="1" applyAlignment="1">
      <alignment horizontal="left" vertical="center" wrapText="1"/>
    </xf>
    <xf numFmtId="0" fontId="31" fillId="6" borderId="0" xfId="9" applyFont="1" applyFill="1" applyAlignment="1">
      <alignment horizontal="left" vertical="center"/>
    </xf>
    <xf numFmtId="0" fontId="32" fillId="6" borderId="0" xfId="9" applyFont="1" applyFill="1" applyAlignment="1">
      <alignment horizontal="center" vertical="center"/>
    </xf>
    <xf numFmtId="0" fontId="32" fillId="6" borderId="0" xfId="9" applyFont="1" applyFill="1" applyAlignment="1">
      <alignment horizontal="left" vertical="center"/>
    </xf>
    <xf numFmtId="4" fontId="37" fillId="0" borderId="0" xfId="9" applyNumberFormat="1" applyFont="1" applyAlignment="1">
      <alignment horizontal="center" vertical="center"/>
    </xf>
    <xf numFmtId="230" fontId="32" fillId="0" borderId="0" xfId="9" applyNumberFormat="1" applyFont="1" applyAlignment="1">
      <alignment horizontal="center" vertical="center"/>
    </xf>
    <xf numFmtId="235" fontId="12" fillId="0" borderId="0" xfId="9" applyNumberFormat="1" applyFont="1" applyAlignment="1">
      <alignment horizontal="center" vertical="center"/>
    </xf>
    <xf numFmtId="0" fontId="9" fillId="6" borderId="0" xfId="9" applyFont="1" applyFill="1" applyAlignment="1">
      <alignment horizontal="center" vertical="center"/>
    </xf>
    <xf numFmtId="0" fontId="9" fillId="6" borderId="0" xfId="9" applyFont="1" applyFill="1" applyAlignment="1">
      <alignment horizontal="left" vertical="center"/>
    </xf>
    <xf numFmtId="230" fontId="9" fillId="6" borderId="0" xfId="9" applyNumberFormat="1" applyFont="1" applyFill="1" applyAlignment="1">
      <alignment horizontal="center" vertical="center"/>
    </xf>
    <xf numFmtId="1" fontId="12" fillId="0" borderId="0" xfId="9" applyNumberFormat="1" applyFont="1" applyAlignment="1">
      <alignment horizontal="center" vertical="center"/>
    </xf>
    <xf numFmtId="236" fontId="9" fillId="0" borderId="0" xfId="9" applyNumberFormat="1" applyFont="1" applyAlignment="1">
      <alignment horizontal="center" vertical="center"/>
    </xf>
    <xf numFmtId="0" fontId="16" fillId="0" borderId="0" xfId="2" applyFont="1" applyAlignment="1">
      <alignment horizontal="left" vertical="center" wrapText="1"/>
    </xf>
    <xf numFmtId="0" fontId="16" fillId="0" borderId="0" xfId="2" applyFont="1" applyAlignment="1">
      <alignment horizontal="left" vertical="center"/>
    </xf>
    <xf numFmtId="230" fontId="9" fillId="0" borderId="0" xfId="2" applyNumberFormat="1" applyFont="1" applyAlignment="1">
      <alignment horizontal="left" vertical="center"/>
    </xf>
    <xf numFmtId="237" fontId="13" fillId="0" borderId="6" xfId="0" applyNumberFormat="1" applyFont="1" applyBorder="1" applyAlignment="1" applyProtection="1">
      <alignment horizontal="center" vertical="center" wrapText="1"/>
      <protection locked="0"/>
    </xf>
    <xf numFmtId="238" fontId="11" fillId="0" borderId="0" xfId="2" applyNumberFormat="1" applyFont="1" applyAlignment="1">
      <alignment horizontal="center" vertical="center"/>
    </xf>
    <xf numFmtId="239" fontId="9" fillId="0" borderId="0" xfId="9" applyNumberFormat="1" applyFont="1" applyAlignment="1">
      <alignment horizontal="center" vertical="center"/>
    </xf>
    <xf numFmtId="240" fontId="11" fillId="0" borderId="0" xfId="0" applyNumberFormat="1" applyFont="1" applyAlignment="1">
      <alignment horizontal="center"/>
    </xf>
    <xf numFmtId="0" fontId="39" fillId="0" borderId="0" xfId="0" applyFont="1" applyAlignment="1">
      <alignment vertical="center" wrapText="1"/>
    </xf>
    <xf numFmtId="177" fontId="14" fillId="0" borderId="0" xfId="2" applyNumberFormat="1" applyFont="1" applyAlignment="1">
      <alignment horizontal="center" vertical="center"/>
    </xf>
    <xf numFmtId="241" fontId="11" fillId="0" borderId="0" xfId="0" applyNumberFormat="1" applyFont="1" applyAlignment="1">
      <alignment horizontal="center"/>
    </xf>
    <xf numFmtId="241" fontId="14" fillId="0" borderId="0" xfId="0" applyNumberFormat="1" applyFont="1" applyAlignment="1">
      <alignment horizontal="center"/>
    </xf>
    <xf numFmtId="0" fontId="16" fillId="0" borderId="0" xfId="9" applyFont="1" applyAlignment="1">
      <alignment horizontal="left" vertical="center"/>
    </xf>
    <xf numFmtId="230" fontId="16" fillId="0" borderId="0" xfId="9" applyNumberFormat="1" applyFont="1" applyAlignment="1">
      <alignment horizontal="center" vertical="center"/>
    </xf>
    <xf numFmtId="0" fontId="40" fillId="0" borderId="6" xfId="0" applyFont="1" applyBorder="1" applyAlignment="1">
      <alignment horizontal="center" vertical="center" wrapText="1"/>
    </xf>
    <xf numFmtId="0" fontId="0" fillId="0" borderId="6" xfId="0" applyBorder="1" applyAlignment="1">
      <alignment vertical="center" wrapText="1"/>
    </xf>
    <xf numFmtId="0" fontId="0" fillId="0" borderId="0" xfId="0" applyAlignment="1">
      <alignment vertical="center" wrapText="1"/>
    </xf>
    <xf numFmtId="0" fontId="0" fillId="0" borderId="0" xfId="0" applyAlignment="1">
      <alignment horizontal="right" vertical="center" wrapText="1"/>
    </xf>
    <xf numFmtId="0" fontId="40" fillId="0" borderId="0" xfId="0" applyFont="1" applyAlignment="1">
      <alignment horizontal="right" vertical="center" wrapText="1"/>
    </xf>
    <xf numFmtId="0" fontId="0" fillId="0" borderId="6" xfId="0" applyBorder="1" applyAlignment="1">
      <alignment horizontal="center" vertical="center" wrapText="1"/>
    </xf>
    <xf numFmtId="183" fontId="13" fillId="0" borderId="6" xfId="0" applyNumberFormat="1" applyFont="1" applyBorder="1" applyAlignment="1" applyProtection="1">
      <alignment horizontal="center" vertical="center" wrapText="1"/>
      <protection locked="0"/>
    </xf>
    <xf numFmtId="211" fontId="17" fillId="7" borderId="6" xfId="0" applyNumberFormat="1" applyFont="1" applyFill="1" applyBorder="1" applyAlignment="1" applyProtection="1">
      <alignment horizontal="center" vertical="center" wrapText="1"/>
      <protection locked="0"/>
    </xf>
    <xf numFmtId="242" fontId="13" fillId="0" borderId="0" xfId="0" applyNumberFormat="1" applyFont="1" applyAlignment="1">
      <alignment horizontal="center" vertical="center"/>
    </xf>
    <xf numFmtId="181" fontId="40" fillId="0" borderId="6" xfId="0" applyNumberFormat="1" applyFont="1" applyBorder="1" applyAlignment="1">
      <alignment horizontal="center" vertical="center" wrapText="1"/>
    </xf>
    <xf numFmtId="183" fontId="40" fillId="0" borderId="6" xfId="0" applyNumberFormat="1" applyFont="1" applyBorder="1" applyAlignment="1">
      <alignment horizontal="center" vertical="center" wrapText="1"/>
    </xf>
    <xf numFmtId="0" fontId="42" fillId="0" borderId="48" xfId="15" applyFont="1" applyBorder="1" applyAlignment="1">
      <alignment horizontal="left" vertical="center" wrapText="1"/>
    </xf>
    <xf numFmtId="0" fontId="42" fillId="0" borderId="49" xfId="15" applyFont="1" applyBorder="1" applyAlignment="1">
      <alignment horizontal="center" vertical="center" wrapText="1"/>
    </xf>
    <xf numFmtId="2" fontId="42" fillId="11" borderId="49" xfId="15" applyNumberFormat="1" applyFont="1" applyFill="1" applyBorder="1" applyAlignment="1">
      <alignment horizontal="right" vertical="center" wrapText="1"/>
    </xf>
    <xf numFmtId="0" fontId="42" fillId="0" borderId="49" xfId="15" applyFont="1" applyBorder="1" applyAlignment="1">
      <alignment horizontal="left" vertical="center" wrapText="1"/>
    </xf>
    <xf numFmtId="0" fontId="42" fillId="0" borderId="50" xfId="15" applyFont="1" applyBorder="1" applyAlignment="1">
      <alignment horizontal="left" vertical="center" wrapText="1"/>
    </xf>
    <xf numFmtId="0" fontId="42" fillId="0" borderId="51" xfId="15" applyFont="1" applyBorder="1" applyAlignment="1">
      <alignment horizontal="left" vertical="center" wrapText="1"/>
    </xf>
    <xf numFmtId="0" fontId="42" fillId="0" borderId="52" xfId="15" applyFont="1" applyBorder="1" applyAlignment="1">
      <alignment horizontal="center" vertical="center" wrapText="1"/>
    </xf>
    <xf numFmtId="2" fontId="42" fillId="11" borderId="52" xfId="15" applyNumberFormat="1" applyFont="1" applyFill="1" applyBorder="1" applyAlignment="1">
      <alignment horizontal="right" vertical="center" wrapText="1"/>
    </xf>
    <xf numFmtId="0" fontId="42" fillId="0" borderId="52" xfId="15" applyFont="1" applyBorder="1" applyAlignment="1">
      <alignment horizontal="left" vertical="center" wrapText="1"/>
    </xf>
    <xf numFmtId="0" fontId="42" fillId="0" borderId="53" xfId="15" applyFont="1" applyBorder="1" applyAlignment="1">
      <alignment horizontal="left" vertical="center" wrapText="1"/>
    </xf>
    <xf numFmtId="172" fontId="42" fillId="0" borderId="52" xfId="15" applyNumberFormat="1" applyFont="1" applyBorder="1" applyAlignment="1">
      <alignment horizontal="right" vertical="center" wrapText="1"/>
    </xf>
    <xf numFmtId="2" fontId="42" fillId="0" borderId="52" xfId="15" applyNumberFormat="1" applyFont="1" applyBorder="1" applyAlignment="1">
      <alignment horizontal="right" vertical="center" wrapText="1"/>
    </xf>
    <xf numFmtId="236" fontId="42" fillId="0" borderId="52" xfId="15" applyNumberFormat="1" applyFont="1" applyBorder="1" applyAlignment="1">
      <alignment horizontal="right" vertical="center" wrapText="1"/>
    </xf>
    <xf numFmtId="1" fontId="42" fillId="11" borderId="52" xfId="15" applyNumberFormat="1" applyFont="1" applyFill="1" applyBorder="1" applyAlignment="1">
      <alignment horizontal="right" vertical="center" wrapText="1"/>
    </xf>
    <xf numFmtId="0" fontId="42" fillId="0" borderId="54" xfId="15" applyFont="1" applyBorder="1" applyAlignment="1">
      <alignment horizontal="left" vertical="center" wrapText="1"/>
    </xf>
    <xf numFmtId="0" fontId="42" fillId="0" borderId="55" xfId="15" applyFont="1" applyBorder="1" applyAlignment="1">
      <alignment horizontal="center" vertical="center" wrapText="1"/>
    </xf>
    <xf numFmtId="2" fontId="42" fillId="11" borderId="55" xfId="15" applyNumberFormat="1" applyFont="1" applyFill="1" applyBorder="1" applyAlignment="1">
      <alignment horizontal="right" vertical="center" wrapText="1"/>
    </xf>
    <xf numFmtId="0" fontId="42" fillId="0" borderId="55" xfId="15" applyFont="1" applyBorder="1" applyAlignment="1">
      <alignment horizontal="left" vertical="center" wrapText="1"/>
    </xf>
    <xf numFmtId="0" fontId="42" fillId="0" borderId="56" xfId="15" applyFont="1" applyBorder="1" applyAlignment="1">
      <alignment horizontal="left" vertical="center" wrapText="1"/>
    </xf>
    <xf numFmtId="2" fontId="42" fillId="11" borderId="49" xfId="15" applyNumberFormat="1" applyFont="1" applyFill="1" applyBorder="1" applyAlignment="1">
      <alignment horizontal="center" vertical="center" wrapText="1"/>
    </xf>
    <xf numFmtId="2" fontId="42" fillId="11" borderId="50" xfId="15" applyNumberFormat="1" applyFont="1" applyFill="1" applyBorder="1" applyAlignment="1">
      <alignment horizontal="center" vertical="center" wrapText="1"/>
    </xf>
    <xf numFmtId="2" fontId="42" fillId="11" borderId="52" xfId="15" applyNumberFormat="1" applyFont="1" applyFill="1" applyBorder="1" applyAlignment="1">
      <alignment horizontal="center" vertical="center" wrapText="1"/>
    </xf>
    <xf numFmtId="2" fontId="42" fillId="11" borderId="53" xfId="15" applyNumberFormat="1" applyFont="1" applyFill="1" applyBorder="1" applyAlignment="1">
      <alignment horizontal="center" vertical="center" wrapText="1"/>
    </xf>
    <xf numFmtId="2" fontId="42" fillId="11" borderId="55" xfId="15" applyNumberFormat="1" applyFont="1" applyFill="1" applyBorder="1" applyAlignment="1">
      <alignment horizontal="center" vertical="center" wrapText="1"/>
    </xf>
    <xf numFmtId="2" fontId="42" fillId="11" borderId="56" xfId="15" applyNumberFormat="1" applyFont="1" applyFill="1" applyBorder="1" applyAlignment="1">
      <alignment horizontal="center" vertical="center" wrapText="1"/>
    </xf>
    <xf numFmtId="0" fontId="42" fillId="0" borderId="6" xfId="15" applyFont="1" applyBorder="1" applyAlignment="1">
      <alignment horizontal="left" vertical="center" wrapText="1"/>
    </xf>
    <xf numFmtId="1" fontId="42" fillId="0" borderId="6" xfId="15" applyNumberFormat="1" applyFont="1" applyBorder="1" applyAlignment="1">
      <alignment horizontal="center" vertical="center" wrapText="1"/>
    </xf>
    <xf numFmtId="2" fontId="42" fillId="0" borderId="6" xfId="15" applyNumberFormat="1" applyFont="1" applyBorder="1" applyAlignment="1">
      <alignment horizontal="center" vertical="center" wrapText="1"/>
    </xf>
    <xf numFmtId="0" fontId="43" fillId="9" borderId="0" xfId="15" applyFont="1" applyFill="1" applyAlignment="1">
      <alignment horizontal="center" vertical="center"/>
    </xf>
    <xf numFmtId="0" fontId="36" fillId="0" borderId="0" xfId="16" applyFont="1" applyAlignment="1">
      <alignment horizontal="center" vertical="center"/>
    </xf>
    <xf numFmtId="0" fontId="43" fillId="10" borderId="45" xfId="15" applyFont="1" applyFill="1" applyBorder="1" applyAlignment="1">
      <alignment horizontal="left" vertical="center" wrapText="1"/>
    </xf>
    <xf numFmtId="0" fontId="43" fillId="10" borderId="46" xfId="15" applyFont="1" applyFill="1" applyBorder="1" applyAlignment="1">
      <alignment horizontal="center" vertical="center" wrapText="1"/>
    </xf>
    <xf numFmtId="0" fontId="43" fillId="10" borderId="47" xfId="15" applyFont="1" applyFill="1" applyBorder="1" applyAlignment="1">
      <alignment horizontal="center" vertical="center" wrapText="1"/>
    </xf>
    <xf numFmtId="0" fontId="35" fillId="0" borderId="0" xfId="15" applyFont="1" applyAlignment="1">
      <alignment horizontal="center" vertical="center"/>
    </xf>
    <xf numFmtId="2" fontId="44" fillId="0" borderId="0" xfId="15" applyNumberFormat="1" applyFont="1" applyAlignment="1">
      <alignment horizontal="center" vertical="center"/>
    </xf>
    <xf numFmtId="0" fontId="36" fillId="0" borderId="0" xfId="16" applyFont="1" applyAlignment="1">
      <alignment horizontal="left" vertical="center"/>
    </xf>
    <xf numFmtId="0" fontId="35" fillId="0" borderId="0" xfId="16" applyFont="1" applyAlignment="1">
      <alignment horizontal="left" vertical="center"/>
    </xf>
    <xf numFmtId="0" fontId="43" fillId="10" borderId="57" xfId="15" applyFont="1" applyFill="1" applyBorder="1" applyAlignment="1">
      <alignment horizontal="left" vertical="center" wrapText="1"/>
    </xf>
    <xf numFmtId="0" fontId="43" fillId="10" borderId="58" xfId="15" applyFont="1" applyFill="1" applyBorder="1" applyAlignment="1">
      <alignment horizontal="center" vertical="center" wrapText="1"/>
    </xf>
    <xf numFmtId="0" fontId="43" fillId="10" borderId="57" xfId="15" applyFont="1" applyFill="1" applyBorder="1" applyAlignment="1">
      <alignment horizontal="center" vertical="center" wrapText="1"/>
    </xf>
    <xf numFmtId="243" fontId="45" fillId="0" borderId="6" xfId="0" applyNumberFormat="1" applyFont="1" applyBorder="1" applyAlignment="1">
      <alignment horizontal="center" vertical="center" wrapText="1"/>
    </xf>
    <xf numFmtId="0" fontId="43" fillId="10" borderId="45" xfId="15" applyFont="1" applyFill="1" applyBorder="1" applyAlignment="1">
      <alignment horizontal="center" vertical="center" wrapText="1"/>
    </xf>
    <xf numFmtId="0" fontId="44" fillId="0" borderId="6" xfId="0" applyFont="1" applyBorder="1" applyAlignment="1">
      <alignment horizontal="left" vertical="center" wrapText="1"/>
    </xf>
    <xf numFmtId="196" fontId="44" fillId="0" borderId="6" xfId="0" applyNumberFormat="1" applyFont="1" applyBorder="1" applyAlignment="1">
      <alignment horizontal="center" vertical="center" wrapText="1"/>
    </xf>
    <xf numFmtId="244" fontId="36" fillId="0" borderId="6" xfId="16" applyNumberFormat="1" applyFont="1" applyBorder="1" applyAlignment="1">
      <alignment horizontal="center" vertical="center"/>
    </xf>
    <xf numFmtId="245" fontId="44" fillId="0" borderId="6" xfId="0" applyNumberFormat="1" applyFont="1" applyBorder="1" applyAlignment="1">
      <alignment horizontal="center" vertical="center" wrapText="1"/>
    </xf>
    <xf numFmtId="243" fontId="36" fillId="0" borderId="6" xfId="16" applyNumberFormat="1" applyFont="1" applyBorder="1" applyAlignment="1">
      <alignment horizontal="center" vertical="center"/>
    </xf>
    <xf numFmtId="0" fontId="43" fillId="10" borderId="45" xfId="15" applyFont="1" applyFill="1" applyBorder="1" applyAlignment="1">
      <alignment horizontal="left" vertical="center"/>
    </xf>
    <xf numFmtId="0" fontId="43" fillId="10" borderId="46" xfId="15" applyFont="1" applyFill="1" applyBorder="1" applyAlignment="1">
      <alignment horizontal="left" vertical="center"/>
    </xf>
    <xf numFmtId="0" fontId="43" fillId="10" borderId="47" xfId="15" applyFont="1" applyFill="1" applyBorder="1" applyAlignment="1">
      <alignment horizontal="left" vertical="center"/>
    </xf>
    <xf numFmtId="0" fontId="42" fillId="0" borderId="0" xfId="15" applyFont="1" applyAlignment="1">
      <alignment horizontal="left" vertical="center" wrapText="1"/>
    </xf>
    <xf numFmtId="0" fontId="42" fillId="0" borderId="0" xfId="15" applyFont="1" applyAlignment="1">
      <alignment horizontal="center" vertical="center" wrapText="1"/>
    </xf>
    <xf numFmtId="2" fontId="42" fillId="11" borderId="0" xfId="15" applyNumberFormat="1" applyFont="1" applyFill="1" applyAlignment="1">
      <alignment horizontal="right" vertical="center" wrapText="1"/>
    </xf>
    <xf numFmtId="246" fontId="36" fillId="0" borderId="0" xfId="2" applyNumberFormat="1" applyFont="1" applyAlignment="1">
      <alignment horizontal="center" vertical="center"/>
    </xf>
    <xf numFmtId="247" fontId="36" fillId="0" borderId="0" xfId="2" applyNumberFormat="1" applyFont="1" applyAlignment="1">
      <alignment horizontal="center" vertical="center"/>
    </xf>
    <xf numFmtId="248" fontId="42" fillId="11" borderId="0" xfId="15" applyNumberFormat="1" applyFont="1" applyFill="1" applyAlignment="1">
      <alignment horizontal="right" vertical="center" wrapText="1"/>
    </xf>
    <xf numFmtId="249" fontId="44" fillId="0" borderId="6" xfId="0" applyNumberFormat="1" applyFont="1" applyBorder="1" applyAlignment="1">
      <alignment horizontal="center" vertical="center" wrapText="1"/>
    </xf>
    <xf numFmtId="0" fontId="35" fillId="0" borderId="0" xfId="16" applyFont="1" applyAlignment="1">
      <alignment vertical="center" wrapText="1"/>
    </xf>
    <xf numFmtId="243" fontId="35" fillId="0" borderId="6" xfId="16" applyNumberFormat="1" applyFont="1" applyBorder="1" applyAlignment="1">
      <alignment horizontal="center" vertical="center"/>
    </xf>
    <xf numFmtId="0" fontId="35" fillId="0" borderId="0" xfId="16" applyFont="1" applyAlignment="1">
      <alignment horizontal="left" vertical="top" wrapText="1"/>
    </xf>
    <xf numFmtId="0" fontId="36" fillId="0" borderId="59" xfId="16" applyFont="1" applyBorder="1" applyAlignment="1">
      <alignment horizontal="left" vertical="center"/>
    </xf>
    <xf numFmtId="0" fontId="36" fillId="0" borderId="0" xfId="16" applyFont="1" applyAlignment="1">
      <alignment horizontal="left" vertical="center"/>
    </xf>
    <xf numFmtId="0" fontId="46" fillId="9" borderId="0" xfId="15" applyFont="1" applyFill="1" applyAlignment="1">
      <alignment horizontal="left" vertical="center"/>
    </xf>
    <xf numFmtId="0" fontId="15" fillId="0" borderId="14" xfId="0" applyFont="1" applyBorder="1" applyAlignment="1">
      <alignment horizontal="center" vertical="center"/>
    </xf>
    <xf numFmtId="0" fontId="15" fillId="0" borderId="30" xfId="0" applyFont="1" applyBorder="1" applyAlignment="1">
      <alignment horizontal="center" vertical="center"/>
    </xf>
    <xf numFmtId="0" fontId="15" fillId="0" borderId="27" xfId="0" applyFont="1" applyBorder="1" applyAlignment="1">
      <alignment horizontal="center" vertical="center"/>
    </xf>
    <xf numFmtId="176" fontId="15" fillId="0" borderId="16" xfId="0" applyNumberFormat="1" applyFont="1" applyBorder="1" applyAlignment="1">
      <alignment horizontal="center" vertical="center" wrapText="1"/>
    </xf>
    <xf numFmtId="176" fontId="15" fillId="0" borderId="19" xfId="0" applyNumberFormat="1" applyFont="1" applyBorder="1" applyAlignment="1">
      <alignment horizontal="center" vertical="center" wrapText="1"/>
    </xf>
    <xf numFmtId="176" fontId="15" fillId="0" borderId="32" xfId="0" applyNumberFormat="1" applyFont="1" applyBorder="1" applyAlignment="1">
      <alignment horizontal="center" vertical="center" wrapText="1"/>
    </xf>
    <xf numFmtId="176" fontId="15" fillId="0" borderId="21" xfId="0" applyNumberFormat="1" applyFont="1" applyBorder="1" applyAlignment="1">
      <alignment horizontal="center" vertical="center" wrapText="1"/>
    </xf>
    <xf numFmtId="0" fontId="15" fillId="0" borderId="19" xfId="0" applyFont="1" applyBorder="1" applyAlignment="1">
      <alignment horizontal="center" vertical="center"/>
    </xf>
    <xf numFmtId="0" fontId="15" fillId="0" borderId="21" xfId="0" applyFont="1" applyBorder="1" applyAlignment="1">
      <alignment horizontal="center" vertical="center"/>
    </xf>
    <xf numFmtId="176" fontId="15" fillId="0" borderId="25" xfId="0" applyNumberFormat="1" applyFont="1" applyBorder="1" applyAlignment="1">
      <alignment horizontal="center" vertical="center" wrapText="1"/>
    </xf>
    <xf numFmtId="176" fontId="15" fillId="0" borderId="30" xfId="0" applyNumberFormat="1" applyFont="1" applyBorder="1" applyAlignment="1">
      <alignment horizontal="center" vertical="center" wrapText="1"/>
    </xf>
    <xf numFmtId="176" fontId="15" fillId="0" borderId="14" xfId="0" applyNumberFormat="1" applyFont="1" applyBorder="1" applyAlignment="1">
      <alignment horizontal="center" vertical="center" wrapText="1"/>
    </xf>
    <xf numFmtId="176" fontId="15" fillId="0" borderId="27" xfId="0" applyNumberFormat="1" applyFont="1" applyBorder="1" applyAlignment="1">
      <alignment horizontal="center" vertical="center" wrapText="1"/>
    </xf>
    <xf numFmtId="176" fontId="15" fillId="0" borderId="34" xfId="0" applyNumberFormat="1" applyFont="1" applyBorder="1" applyAlignment="1">
      <alignment horizontal="center" vertical="center" wrapText="1"/>
    </xf>
    <xf numFmtId="176" fontId="15" fillId="0" borderId="35" xfId="0" applyNumberFormat="1" applyFont="1" applyBorder="1" applyAlignment="1">
      <alignment horizontal="center" vertical="center" wrapText="1"/>
    </xf>
    <xf numFmtId="176" fontId="15" fillId="0" borderId="36" xfId="0" applyNumberFormat="1" applyFont="1" applyBorder="1" applyAlignment="1">
      <alignment horizontal="center" vertical="center" wrapText="1"/>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7" fillId="0" borderId="38" xfId="0" applyFont="1" applyBorder="1" applyAlignment="1">
      <alignment horizontal="center" vertical="center"/>
    </xf>
  </cellXfs>
  <cellStyles count="17">
    <cellStyle name="Normaallaad 2" xfId="7" xr:uid="{29505650-8790-4F60-A2BB-CD8C37E1426C}"/>
    <cellStyle name="Normaallaad 2 2" xfId="12" xr:uid="{886BB9EB-0A09-42E1-8361-4292C0255270}"/>
    <cellStyle name="Normaallaad 3" xfId="11" xr:uid="{03902F79-C96B-4B3B-BF81-1B01895DF67D}"/>
    <cellStyle name="Normaallaad 4" xfId="13" xr:uid="{81309692-01B0-4977-9B02-1155ECC9D2A0}"/>
    <cellStyle name="Normaallaad 5" xfId="16" xr:uid="{4CC474F7-B246-47F5-BF1E-499B88D01C5A}"/>
    <cellStyle name="Normal" xfId="0" builtinId="0"/>
    <cellStyle name="Normal 2" xfId="1" xr:uid="{648458AC-9E18-4B44-9D0A-6E292F7621D6}"/>
    <cellStyle name="Normal 2 2" xfId="5" xr:uid="{E63F0FDC-FF46-448F-BEFC-114555F7345A}"/>
    <cellStyle name="Normal 2 3" xfId="4" xr:uid="{DFB52F7E-820B-4158-9C84-53B4685F9926}"/>
    <cellStyle name="Normal 2 4" xfId="8" xr:uid="{1FC4045B-37FB-4E6C-98D6-9D8FFC4FF0C2}"/>
    <cellStyle name="Normal 3" xfId="2" xr:uid="{003665BE-116B-45FA-982F-BBFE99C1CC95}"/>
    <cellStyle name="Normal 3 2" xfId="6" xr:uid="{6197C9C7-FD31-4147-83CF-62D4B946D165}"/>
    <cellStyle name="Normal 3 2 2" xfId="14" xr:uid="{2FFBDAA9-477F-4F9B-9E7C-6DC2A00A3DFC}"/>
    <cellStyle name="Normal 3 6" xfId="9" xr:uid="{FB98C9E8-923C-45EE-BDE9-D74E22B1D2DB}"/>
    <cellStyle name="Normal 4" xfId="3" xr:uid="{4EABEB90-D83E-4BFA-BD3B-F52B2A0AA818}"/>
    <cellStyle name="Normal 5" xfId="15" xr:uid="{E0798AF9-E78D-49DB-B5E0-2D2200AE5ABD}"/>
    <cellStyle name="Normal_kk95_2" xfId="10" xr:uid="{BA23C05A-049C-409A-821C-98D2A0C7BDBD}"/>
  </cellStyles>
  <dxfs count="1">
    <dxf>
      <fill>
        <patternFill patternType="solid">
          <fgColor rgb="FF0070C0"/>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21771</xdr:colOff>
      <xdr:row>0</xdr:row>
      <xdr:rowOff>21772</xdr:rowOff>
    </xdr:from>
    <xdr:to>
      <xdr:col>2</xdr:col>
      <xdr:colOff>582759</xdr:colOff>
      <xdr:row>5</xdr:row>
      <xdr:rowOff>5122</xdr:rowOff>
    </xdr:to>
    <xdr:pic>
      <xdr:nvPicPr>
        <xdr:cNvPr id="2" name="Picture 1">
          <a:extLst>
            <a:ext uri="{FF2B5EF4-FFF2-40B4-BE49-F238E27FC236}">
              <a16:creationId xmlns:a16="http://schemas.microsoft.com/office/drawing/2014/main" id="{1E5D1C05-B77C-4016-BD22-7327D2727D4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6" r="4191" b="-30"/>
        <a:stretch/>
      </xdr:blipFill>
      <xdr:spPr bwMode="auto">
        <a:xfrm>
          <a:off x="21771" y="21772"/>
          <a:ext cx="3369502" cy="96306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990600</xdr:colOff>
      <xdr:row>0</xdr:row>
      <xdr:rowOff>119745</xdr:rowOff>
    </xdr:from>
    <xdr:to>
      <xdr:col>5</xdr:col>
      <xdr:colOff>968828</xdr:colOff>
      <xdr:row>4</xdr:row>
      <xdr:rowOff>152402</xdr:rowOff>
    </xdr:to>
    <xdr:pic>
      <xdr:nvPicPr>
        <xdr:cNvPr id="3" name="Picture 2">
          <a:extLst>
            <a:ext uri="{FF2B5EF4-FFF2-40B4-BE49-F238E27FC236}">
              <a16:creationId xmlns:a16="http://schemas.microsoft.com/office/drawing/2014/main" id="{EB91B151-7680-4422-A27B-B66F083CE3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99114" y="119745"/>
          <a:ext cx="2852057" cy="8164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310616</xdr:colOff>
      <xdr:row>4</xdr:row>
      <xdr:rowOff>179293</xdr:rowOff>
    </xdr:to>
    <xdr:pic>
      <xdr:nvPicPr>
        <xdr:cNvPr id="6" name="Picture 5">
          <a:extLst>
            <a:ext uri="{FF2B5EF4-FFF2-40B4-BE49-F238E27FC236}">
              <a16:creationId xmlns:a16="http://schemas.microsoft.com/office/drawing/2014/main" id="{F4377C9A-B501-4808-B5B9-CC49061240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6" r="4191" b="-30"/>
        <a:stretch/>
      </xdr:blipFill>
      <xdr:spPr bwMode="auto">
        <a:xfrm>
          <a:off x="0" y="0"/>
          <a:ext cx="3369502" cy="96306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718457</xdr:colOff>
      <xdr:row>0</xdr:row>
      <xdr:rowOff>97973</xdr:rowOff>
    </xdr:from>
    <xdr:to>
      <xdr:col>5</xdr:col>
      <xdr:colOff>195943</xdr:colOff>
      <xdr:row>4</xdr:row>
      <xdr:rowOff>130630</xdr:rowOff>
    </xdr:to>
    <xdr:pic>
      <xdr:nvPicPr>
        <xdr:cNvPr id="7" name="Picture 6">
          <a:extLst>
            <a:ext uri="{FF2B5EF4-FFF2-40B4-BE49-F238E27FC236}">
              <a16:creationId xmlns:a16="http://schemas.microsoft.com/office/drawing/2014/main" id="{1FCE3740-2F89-4201-A352-1FD286A731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77343" y="97973"/>
          <a:ext cx="2852057" cy="8164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rev2-my.sharepoint.com/personal/alar_tooming_trev2_ee/Documents/Desktop/CO2/Asfalt%20arvutus.xlsx" TargetMode="External"/><Relationship Id="rId1" Type="http://schemas.openxmlformats.org/officeDocument/2006/relationships/externalLinkPath" Target="https://trev2-my.sharepoint.com/personal/alar_tooming_trev2_ee/Documents/Desktop/CO2/Asfalt%20arvu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gu tootimine"/>
      <sheetName val="Laotamine"/>
      <sheetName val="Asfalt koostis"/>
      <sheetName val="Andmebaas"/>
      <sheetName val="Masinad"/>
    </sheetNames>
    <sheetDataSet>
      <sheetData sheetId="0"/>
      <sheetData sheetId="1"/>
      <sheetData sheetId="2"/>
      <sheetData sheetId="3"/>
      <sheetData sheetId="4">
        <row r="4">
          <cell r="A4" t="str">
            <v>Ekskavaator</v>
          </cell>
          <cell r="D4">
            <v>15</v>
          </cell>
        </row>
        <row r="5">
          <cell r="A5" t="str">
            <v>Ekskavaator</v>
          </cell>
          <cell r="D5">
            <v>40</v>
          </cell>
        </row>
        <row r="6">
          <cell r="A6" t="str">
            <v>Ekskavaator</v>
          </cell>
          <cell r="D6">
            <v>50</v>
          </cell>
        </row>
        <row r="7">
          <cell r="A7" t="str">
            <v>Ekskavaator</v>
          </cell>
          <cell r="D7">
            <v>60</v>
          </cell>
        </row>
        <row r="8">
          <cell r="A8" t="str">
            <v>Ekskavaator</v>
          </cell>
          <cell r="D8">
            <v>70</v>
          </cell>
        </row>
        <row r="9">
          <cell r="A9" t="str">
            <v>Ekskavaator</v>
          </cell>
          <cell r="D9">
            <v>80</v>
          </cell>
        </row>
        <row r="10">
          <cell r="A10" t="str">
            <v>Ekskavaator</v>
          </cell>
          <cell r="D10">
            <v>100</v>
          </cell>
        </row>
        <row r="11">
          <cell r="A11" t="str">
            <v>Ekskavaator</v>
          </cell>
          <cell r="D11">
            <v>158</v>
          </cell>
        </row>
        <row r="12">
          <cell r="A12" t="str">
            <v>Ekskavaator</v>
          </cell>
          <cell r="D12">
            <v>194</v>
          </cell>
        </row>
        <row r="13">
          <cell r="A13" t="str">
            <v>Ekskavaator</v>
          </cell>
          <cell r="D13">
            <v>224</v>
          </cell>
        </row>
        <row r="14">
          <cell r="A14" t="str">
            <v>Ekskavaator</v>
          </cell>
          <cell r="D14">
            <v>258</v>
          </cell>
        </row>
        <row r="15">
          <cell r="A15" t="str">
            <v>Ekskavaator</v>
          </cell>
          <cell r="D15">
            <v>302</v>
          </cell>
        </row>
        <row r="16">
          <cell r="A16" t="str">
            <v>Ratasekskavaator</v>
          </cell>
          <cell r="D16">
            <v>93</v>
          </cell>
        </row>
        <row r="17">
          <cell r="A17" t="str">
            <v>Ratasekskavaator</v>
          </cell>
          <cell r="D17">
            <v>108</v>
          </cell>
        </row>
        <row r="18">
          <cell r="A18" t="str">
            <v>Ratasekskavaator</v>
          </cell>
          <cell r="D18">
            <v>129</v>
          </cell>
        </row>
        <row r="19">
          <cell r="A19" t="str">
            <v>Kopplaadur</v>
          </cell>
          <cell r="D19">
            <v>52</v>
          </cell>
        </row>
        <row r="20">
          <cell r="A20" t="str">
            <v>Kopplaadur</v>
          </cell>
          <cell r="D20">
            <v>75</v>
          </cell>
        </row>
        <row r="21">
          <cell r="A21" t="str">
            <v>Kopplaadur</v>
          </cell>
          <cell r="D21">
            <v>82</v>
          </cell>
        </row>
        <row r="22">
          <cell r="A22" t="str">
            <v>Frontaallaadur</v>
          </cell>
          <cell r="D22">
            <v>55</v>
          </cell>
        </row>
        <row r="23">
          <cell r="A23" t="str">
            <v>Frontaallaadur</v>
          </cell>
          <cell r="D23">
            <v>73</v>
          </cell>
        </row>
        <row r="24">
          <cell r="A24" t="str">
            <v>Frontaallaadur</v>
          </cell>
          <cell r="D24">
            <v>127</v>
          </cell>
        </row>
        <row r="25">
          <cell r="A25" t="str">
            <v>Frontaallaadur</v>
          </cell>
          <cell r="D25">
            <v>143</v>
          </cell>
        </row>
        <row r="26">
          <cell r="A26" t="str">
            <v>Frontaallaadur</v>
          </cell>
          <cell r="D26">
            <v>186</v>
          </cell>
        </row>
        <row r="27">
          <cell r="A27" t="str">
            <v>Frontaallaadur</v>
          </cell>
          <cell r="D27">
            <v>202</v>
          </cell>
        </row>
        <row r="28">
          <cell r="A28" t="str">
            <v>Frontaallaadur</v>
          </cell>
          <cell r="D28">
            <v>222</v>
          </cell>
        </row>
        <row r="29">
          <cell r="A29" t="str">
            <v>Frontaallaadur</v>
          </cell>
          <cell r="D29">
            <v>293</v>
          </cell>
        </row>
        <row r="30">
          <cell r="A30" t="str">
            <v>Frontaallaadur</v>
          </cell>
          <cell r="D30">
            <v>432</v>
          </cell>
        </row>
        <row r="31">
          <cell r="A31" t="str">
            <v>Frontaallaadur</v>
          </cell>
          <cell r="D31">
            <v>586</v>
          </cell>
        </row>
        <row r="32">
          <cell r="A32" t="str">
            <v>Minilaadur</v>
          </cell>
          <cell r="D32">
            <v>50.1</v>
          </cell>
        </row>
        <row r="33">
          <cell r="A33" t="str">
            <v>Minilaadur</v>
          </cell>
          <cell r="D33">
            <v>55.4</v>
          </cell>
        </row>
        <row r="34">
          <cell r="A34" t="str">
            <v>Minilaadur</v>
          </cell>
          <cell r="D34">
            <v>91</v>
          </cell>
        </row>
        <row r="35">
          <cell r="A35" t="str">
            <v>Minilaadur</v>
          </cell>
          <cell r="D35">
            <v>51</v>
          </cell>
        </row>
        <row r="36">
          <cell r="A36" t="str">
            <v>Minilaadur</v>
          </cell>
          <cell r="D36">
            <v>82</v>
          </cell>
        </row>
        <row r="37">
          <cell r="A37" t="str">
            <v>Minilaadur</v>
          </cell>
          <cell r="D37">
            <v>91</v>
          </cell>
        </row>
        <row r="38">
          <cell r="A38" t="str">
            <v>Buldooser</v>
          </cell>
          <cell r="D38">
            <v>59.7</v>
          </cell>
        </row>
        <row r="39">
          <cell r="A39" t="str">
            <v>Buldooser</v>
          </cell>
          <cell r="D39">
            <v>68.8</v>
          </cell>
        </row>
        <row r="40">
          <cell r="A40" t="str">
            <v>Buldooser</v>
          </cell>
          <cell r="D40">
            <v>77.599999999999994</v>
          </cell>
        </row>
        <row r="41">
          <cell r="A41" t="str">
            <v>Buldooser</v>
          </cell>
          <cell r="D41">
            <v>119</v>
          </cell>
        </row>
        <row r="42">
          <cell r="A42" t="str">
            <v>Buldooser</v>
          </cell>
          <cell r="D42">
            <v>127</v>
          </cell>
        </row>
        <row r="43">
          <cell r="A43" t="str">
            <v>Buldooser</v>
          </cell>
          <cell r="D43">
            <v>187</v>
          </cell>
        </row>
        <row r="44">
          <cell r="A44" t="str">
            <v>Buldooser</v>
          </cell>
          <cell r="D44">
            <v>197</v>
          </cell>
        </row>
        <row r="45">
          <cell r="A45" t="str">
            <v>Buldooser</v>
          </cell>
          <cell r="D45">
            <v>296</v>
          </cell>
        </row>
        <row r="46">
          <cell r="A46" t="str">
            <v>Buldooser</v>
          </cell>
          <cell r="D46">
            <v>337</v>
          </cell>
        </row>
        <row r="47">
          <cell r="A47" t="str">
            <v>Buldooser</v>
          </cell>
          <cell r="D47">
            <v>449</v>
          </cell>
        </row>
        <row r="48">
          <cell r="A48" t="str">
            <v>Buldooser</v>
          </cell>
          <cell r="D48">
            <v>757</v>
          </cell>
        </row>
        <row r="49">
          <cell r="A49" t="str">
            <v>Greider</v>
          </cell>
          <cell r="D49">
            <v>97</v>
          </cell>
        </row>
        <row r="50">
          <cell r="A50" t="str">
            <v>Greider</v>
          </cell>
          <cell r="D50">
            <v>133</v>
          </cell>
        </row>
        <row r="51">
          <cell r="A51" t="str">
            <v>Greider</v>
          </cell>
          <cell r="D51">
            <v>149</v>
          </cell>
        </row>
        <row r="52">
          <cell r="A52" t="str">
            <v>Greider</v>
          </cell>
          <cell r="D52">
            <v>165</v>
          </cell>
        </row>
        <row r="53">
          <cell r="A53" t="str">
            <v>Greider</v>
          </cell>
          <cell r="D53">
            <v>178</v>
          </cell>
        </row>
        <row r="54">
          <cell r="A54" t="str">
            <v>Greider</v>
          </cell>
          <cell r="D54">
            <v>216</v>
          </cell>
        </row>
        <row r="55">
          <cell r="A55" t="str">
            <v>Pinnasetihendaja</v>
          </cell>
          <cell r="D55">
            <v>55.6</v>
          </cell>
        </row>
        <row r="56">
          <cell r="A56" t="str">
            <v>Pinnasetihendaja</v>
          </cell>
          <cell r="D56">
            <v>74.400000000000006</v>
          </cell>
        </row>
        <row r="57">
          <cell r="A57" t="str">
            <v>Pinnasetihendaja</v>
          </cell>
          <cell r="D57">
            <v>92</v>
          </cell>
        </row>
        <row r="58">
          <cell r="A58" t="str">
            <v>Pinnasetihendaja</v>
          </cell>
          <cell r="D58">
            <v>91.7</v>
          </cell>
        </row>
        <row r="59">
          <cell r="A59" t="str">
            <v>Pinnasetihendaja</v>
          </cell>
          <cell r="D59">
            <v>119</v>
          </cell>
        </row>
        <row r="60">
          <cell r="A60" t="str">
            <v>Pinnasetihendaja</v>
          </cell>
          <cell r="D60">
            <v>119</v>
          </cell>
        </row>
        <row r="61">
          <cell r="A61" t="str">
            <v>Pinnasetihendaja</v>
          </cell>
          <cell r="D61">
            <v>131</v>
          </cell>
        </row>
        <row r="62">
          <cell r="A62" t="str">
            <v>Pinnasetihendaja</v>
          </cell>
          <cell r="D62">
            <v>131</v>
          </cell>
        </row>
        <row r="63">
          <cell r="A63" t="str">
            <v>Frees</v>
          </cell>
          <cell r="D63">
            <v>256</v>
          </cell>
        </row>
        <row r="64">
          <cell r="A64" t="str">
            <v>Frees</v>
          </cell>
          <cell r="D64">
            <v>256</v>
          </cell>
        </row>
        <row r="65">
          <cell r="A65" t="str">
            <v>Frees</v>
          </cell>
          <cell r="D65">
            <v>474</v>
          </cell>
        </row>
        <row r="66">
          <cell r="A66" t="str">
            <v>Frees</v>
          </cell>
          <cell r="D66">
            <v>601</v>
          </cell>
        </row>
        <row r="67">
          <cell r="A67" t="str">
            <v>Frees</v>
          </cell>
          <cell r="D67">
            <v>601</v>
          </cell>
        </row>
        <row r="68">
          <cell r="A68" t="str">
            <v>Stabilisaator</v>
          </cell>
          <cell r="D68">
            <v>455</v>
          </cell>
        </row>
        <row r="69">
          <cell r="A69" t="str">
            <v>Stabilisaator</v>
          </cell>
          <cell r="D69">
            <v>563</v>
          </cell>
        </row>
        <row r="70">
          <cell r="A70" t="str">
            <v>Stabilisaator</v>
          </cell>
          <cell r="D70">
            <v>250</v>
          </cell>
        </row>
        <row r="71">
          <cell r="A71" t="str">
            <v>Tsemendi laoturid</v>
          </cell>
          <cell r="D71">
            <v>81</v>
          </cell>
        </row>
        <row r="72">
          <cell r="A72" t="str">
            <v>Tsemendi laoturid</v>
          </cell>
          <cell r="D72">
            <v>174.98138495904692</v>
          </cell>
        </row>
        <row r="73">
          <cell r="A73" t="str">
            <v>Tsemendi laoturid</v>
          </cell>
          <cell r="D73">
            <v>223.38049143708116</v>
          </cell>
        </row>
        <row r="74">
          <cell r="A74" t="str">
            <v>Purusti</v>
          </cell>
          <cell r="D74">
            <v>257</v>
          </cell>
        </row>
        <row r="75">
          <cell r="A75" t="str">
            <v>Purusti</v>
          </cell>
          <cell r="D75">
            <v>328</v>
          </cell>
        </row>
        <row r="76">
          <cell r="A76" t="str">
            <v>Purusti</v>
          </cell>
          <cell r="D76">
            <v>571</v>
          </cell>
        </row>
        <row r="77">
          <cell r="A77" t="str">
            <v>Purusti</v>
          </cell>
          <cell r="D77">
            <v>403</v>
          </cell>
        </row>
        <row r="78">
          <cell r="A78" t="str">
            <v>Purusti</v>
          </cell>
          <cell r="D78">
            <v>205</v>
          </cell>
        </row>
        <row r="79">
          <cell r="A79" t="str">
            <v>Purusti</v>
          </cell>
          <cell r="D79">
            <v>187</v>
          </cell>
        </row>
        <row r="80">
          <cell r="A80" t="str">
            <v>Purusti</v>
          </cell>
          <cell r="D80">
            <v>265</v>
          </cell>
        </row>
        <row r="81">
          <cell r="A81" t="str">
            <v>Purusti</v>
          </cell>
          <cell r="D81">
            <v>168</v>
          </cell>
        </row>
        <row r="82">
          <cell r="A82" t="str">
            <v>Purusti</v>
          </cell>
          <cell r="D82">
            <v>310</v>
          </cell>
        </row>
        <row r="83">
          <cell r="A83" t="str">
            <v>Sõel</v>
          </cell>
          <cell r="D83">
            <v>82</v>
          </cell>
        </row>
        <row r="84">
          <cell r="A84" t="str">
            <v>Sõel</v>
          </cell>
          <cell r="D84">
            <v>98.1</v>
          </cell>
        </row>
        <row r="85">
          <cell r="A85" t="str">
            <v>Sõel</v>
          </cell>
          <cell r="D85">
            <v>98</v>
          </cell>
        </row>
        <row r="86">
          <cell r="A86" t="str">
            <v>Sõel</v>
          </cell>
          <cell r="D86">
            <v>82</v>
          </cell>
        </row>
        <row r="87">
          <cell r="A87" t="str">
            <v>Sõel</v>
          </cell>
          <cell r="D87">
            <v>130</v>
          </cell>
        </row>
        <row r="88">
          <cell r="A88" t="str">
            <v>Sõel</v>
          </cell>
          <cell r="D88">
            <v>75</v>
          </cell>
        </row>
        <row r="89">
          <cell r="A89" t="str">
            <v>Sõel</v>
          </cell>
          <cell r="D89">
            <v>97</v>
          </cell>
        </row>
        <row r="90">
          <cell r="A90" t="str">
            <v>Sõel</v>
          </cell>
          <cell r="D90">
            <v>98</v>
          </cell>
        </row>
        <row r="91">
          <cell r="A91" t="str">
            <v>Sõel</v>
          </cell>
          <cell r="D91">
            <v>168</v>
          </cell>
        </row>
        <row r="92">
          <cell r="A92" t="str">
            <v>Sõel</v>
          </cell>
          <cell r="D92">
            <v>98</v>
          </cell>
        </row>
        <row r="93">
          <cell r="A93" t="str">
            <v>Sõel</v>
          </cell>
          <cell r="D93">
            <v>168</v>
          </cell>
        </row>
        <row r="94">
          <cell r="A94" t="str">
            <v>Pumpamine/ pesemine</v>
          </cell>
          <cell r="D94">
            <v>1200</v>
          </cell>
        </row>
        <row r="95">
          <cell r="A95" t="str">
            <v>Pumpamine/ pesemine</v>
          </cell>
          <cell r="D95">
            <v>1200</v>
          </cell>
        </row>
        <row r="96">
          <cell r="A96" t="str">
            <v>Pumpamine/ pesemine</v>
          </cell>
          <cell r="D96">
            <v>1200</v>
          </cell>
        </row>
        <row r="97">
          <cell r="A97" t="str">
            <v>Pumpamine/ pesemine</v>
          </cell>
          <cell r="D97">
            <v>310</v>
          </cell>
        </row>
        <row r="98">
          <cell r="A98" t="str">
            <v>Pesemine</v>
          </cell>
          <cell r="D98">
            <v>150</v>
          </cell>
        </row>
        <row r="99">
          <cell r="A99" t="str">
            <v>Pesemine</v>
          </cell>
        </row>
        <row r="100">
          <cell r="A100" t="str">
            <v>Eelsöötja</v>
          </cell>
          <cell r="D100">
            <v>160</v>
          </cell>
        </row>
        <row r="101">
          <cell r="A101" t="str">
            <v>Eelsöötja</v>
          </cell>
          <cell r="D101">
            <v>139</v>
          </cell>
        </row>
        <row r="102">
          <cell r="A102" t="str">
            <v xml:space="preserve">Asf.laotur </v>
          </cell>
          <cell r="D102">
            <v>90</v>
          </cell>
        </row>
        <row r="103">
          <cell r="A103" t="str">
            <v xml:space="preserve">Asf.laotur </v>
          </cell>
          <cell r="D103">
            <v>129</v>
          </cell>
        </row>
        <row r="104">
          <cell r="A104" t="str">
            <v xml:space="preserve">Asf.laotur </v>
          </cell>
          <cell r="D104">
            <v>168</v>
          </cell>
        </row>
        <row r="105">
          <cell r="A105" t="str">
            <v xml:space="preserve">Asf.laotur </v>
          </cell>
          <cell r="D105">
            <v>10.199999999999999</v>
          </cell>
        </row>
        <row r="106">
          <cell r="A106" t="str">
            <v xml:space="preserve">Asf.laotur </v>
          </cell>
          <cell r="D106">
            <v>55.4</v>
          </cell>
        </row>
        <row r="107">
          <cell r="A107" t="str">
            <v xml:space="preserve">Asf.laotur </v>
          </cell>
          <cell r="D107">
            <v>129</v>
          </cell>
        </row>
        <row r="108">
          <cell r="A108" t="str">
            <v xml:space="preserve">Asf.laotur </v>
          </cell>
          <cell r="D108">
            <v>187</v>
          </cell>
        </row>
        <row r="109">
          <cell r="A109" t="str">
            <v xml:space="preserve">Asf.laotur </v>
          </cell>
          <cell r="D109">
            <v>354</v>
          </cell>
        </row>
        <row r="110">
          <cell r="A110" t="str">
            <v>Kuumuti</v>
          </cell>
          <cell r="D110">
            <v>75</v>
          </cell>
        </row>
        <row r="111">
          <cell r="A111" t="str">
            <v>Kuumuti</v>
          </cell>
          <cell r="D111">
            <v>50</v>
          </cell>
        </row>
        <row r="112">
          <cell r="A112" t="str">
            <v>Remixer</v>
          </cell>
          <cell r="D112">
            <v>90</v>
          </cell>
        </row>
        <row r="113">
          <cell r="A113" t="str">
            <v>Remixer</v>
          </cell>
          <cell r="D113">
            <v>240</v>
          </cell>
        </row>
        <row r="114">
          <cell r="A114" t="str">
            <v>Külmsegur</v>
          </cell>
          <cell r="D114">
            <v>129.4</v>
          </cell>
        </row>
        <row r="115">
          <cell r="A115" t="str">
            <v>Külmsegur</v>
          </cell>
          <cell r="D115">
            <v>129</v>
          </cell>
        </row>
        <row r="116">
          <cell r="A116" t="str">
            <v>Asf.rull</v>
          </cell>
          <cell r="D116">
            <v>16.100000000000001</v>
          </cell>
        </row>
        <row r="117">
          <cell r="A117" t="str">
            <v>Asf.rull</v>
          </cell>
          <cell r="D117">
            <v>37.4</v>
          </cell>
        </row>
        <row r="118">
          <cell r="A118" t="str">
            <v>Asf.rull</v>
          </cell>
          <cell r="D118">
            <v>55.4</v>
          </cell>
        </row>
        <row r="119">
          <cell r="A119" t="str">
            <v>Asf.rull</v>
          </cell>
          <cell r="D119">
            <v>55.4</v>
          </cell>
        </row>
        <row r="120">
          <cell r="A120" t="str">
            <v>Asf.rull</v>
          </cell>
          <cell r="D120">
            <v>85</v>
          </cell>
        </row>
        <row r="121">
          <cell r="A121" t="str">
            <v>Asf.rull</v>
          </cell>
          <cell r="D121">
            <v>115</v>
          </cell>
        </row>
        <row r="122">
          <cell r="A122" t="str">
            <v>Asf.rull</v>
          </cell>
          <cell r="D122">
            <v>115</v>
          </cell>
        </row>
        <row r="123">
          <cell r="A123" t="str">
            <v>Pneumorull</v>
          </cell>
          <cell r="D123">
            <v>55.4</v>
          </cell>
        </row>
        <row r="124">
          <cell r="A124" t="str">
            <v>Pneumorull</v>
          </cell>
          <cell r="D124">
            <v>85</v>
          </cell>
        </row>
        <row r="125">
          <cell r="A125" t="str">
            <v>Gudronaator</v>
          </cell>
          <cell r="D125">
            <v>180</v>
          </cell>
        </row>
        <row r="126">
          <cell r="A126" t="str">
            <v>Gudronaator</v>
          </cell>
          <cell r="D126">
            <v>22</v>
          </cell>
        </row>
        <row r="127">
          <cell r="A127" t="str">
            <v>Traktor</v>
          </cell>
          <cell r="D127">
            <v>81</v>
          </cell>
        </row>
        <row r="128">
          <cell r="A128" t="str">
            <v>Traktor</v>
          </cell>
          <cell r="D128">
            <v>174.98138495904692</v>
          </cell>
        </row>
        <row r="129">
          <cell r="A129" t="str">
            <v>Traktor</v>
          </cell>
          <cell r="D129">
            <v>259.12137006701414</v>
          </cell>
        </row>
        <row r="130">
          <cell r="A130" t="str">
            <v>Traktor</v>
          </cell>
          <cell r="D130">
            <v>96.798212956068511</v>
          </cell>
        </row>
        <row r="131">
          <cell r="A131" t="str">
            <v>Traktor</v>
          </cell>
          <cell r="D131">
            <v>223.38049143708116</v>
          </cell>
        </row>
        <row r="133">
          <cell r="D133" t="str">
            <v>Võimsus</v>
          </cell>
        </row>
        <row r="134">
          <cell r="A134" t="str">
            <v>Veepaak</v>
          </cell>
          <cell r="D134">
            <v>250</v>
          </cell>
        </row>
        <row r="135">
          <cell r="A135" t="str">
            <v>Multilift</v>
          </cell>
          <cell r="D135">
            <v>250</v>
          </cell>
        </row>
        <row r="136">
          <cell r="A136" t="str">
            <v>Poolhaage</v>
          </cell>
          <cell r="D136">
            <v>330</v>
          </cell>
        </row>
        <row r="137">
          <cell r="A137" t="str">
            <v>Täishaage 17t</v>
          </cell>
          <cell r="D137">
            <v>250</v>
          </cell>
        </row>
        <row r="138">
          <cell r="A138" t="str">
            <v>Täishaage 13t</v>
          </cell>
          <cell r="D138">
            <v>280</v>
          </cell>
        </row>
        <row r="139">
          <cell r="A139" t="str">
            <v>Tsistern</v>
          </cell>
          <cell r="D139">
            <v>330</v>
          </cell>
        </row>
        <row r="140">
          <cell r="A140" t="str">
            <v>Treiler</v>
          </cell>
          <cell r="D140">
            <v>650</v>
          </cell>
        </row>
        <row r="142">
          <cell r="A142" t="str">
            <v>Kubota M6-111</v>
          </cell>
          <cell r="D142">
            <v>81</v>
          </cell>
        </row>
        <row r="143">
          <cell r="A143" t="str">
            <v>MF 6713</v>
          </cell>
          <cell r="D143">
            <v>96.798212956068511</v>
          </cell>
        </row>
        <row r="144">
          <cell r="A144" t="str">
            <v>JCB FASTRAC 4220</v>
          </cell>
          <cell r="D144">
            <v>174.98138495904692</v>
          </cell>
        </row>
        <row r="145">
          <cell r="A145" t="str">
            <v>MF 8735</v>
          </cell>
          <cell r="D145">
            <v>223.38049143708116</v>
          </cell>
        </row>
        <row r="146">
          <cell r="A146" t="str">
            <v>JCB FASTRAC 8330</v>
          </cell>
          <cell r="D146">
            <v>259.12137006701414</v>
          </cell>
        </row>
        <row r="147">
          <cell r="A147" t="str">
            <v>Dumper 26t</v>
          </cell>
          <cell r="D147">
            <v>255</v>
          </cell>
        </row>
        <row r="148">
          <cell r="A148" t="str">
            <v>Dumper 30t</v>
          </cell>
          <cell r="D148">
            <v>280</v>
          </cell>
        </row>
        <row r="149">
          <cell r="A149" t="str">
            <v>Dumper 35t</v>
          </cell>
          <cell r="D149">
            <v>324</v>
          </cell>
        </row>
        <row r="150">
          <cell r="A150" t="str">
            <v>Dumper 40t</v>
          </cell>
          <cell r="D150">
            <v>337</v>
          </cell>
        </row>
        <row r="151">
          <cell r="A151" t="str">
            <v>Dumper 45t</v>
          </cell>
          <cell r="D151">
            <v>381</v>
          </cell>
        </row>
        <row r="154">
          <cell r="A154" t="str">
            <v>Vibroplaat</v>
          </cell>
          <cell r="D154">
            <v>650</v>
          </cell>
        </row>
        <row r="155">
          <cell r="A155" t="str">
            <v>Puurseade</v>
          </cell>
          <cell r="D155">
            <v>287</v>
          </cell>
        </row>
        <row r="156">
          <cell r="A156" t="str">
            <v>Puurseade</v>
          </cell>
          <cell r="D156">
            <v>287</v>
          </cell>
        </row>
        <row r="157">
          <cell r="A157" t="str">
            <v>Puurseade</v>
          </cell>
          <cell r="D157">
            <v>168</v>
          </cell>
        </row>
        <row r="158">
          <cell r="A158" t="str">
            <v>Puurseade</v>
          </cell>
          <cell r="D158">
            <v>168</v>
          </cell>
        </row>
        <row r="159">
          <cell r="A159" t="str">
            <v>Puurseade</v>
          </cell>
          <cell r="D159">
            <v>403</v>
          </cell>
        </row>
        <row r="161">
          <cell r="A161" t="str">
            <v xml:space="preserve">Betoonipump </v>
          </cell>
          <cell r="D161">
            <v>265</v>
          </cell>
        </row>
        <row r="162">
          <cell r="A162" t="str">
            <v xml:space="preserve">Betoonipump </v>
          </cell>
          <cell r="D162">
            <v>290</v>
          </cell>
        </row>
        <row r="163">
          <cell r="A163" t="str">
            <v xml:space="preserve">Betoonipump </v>
          </cell>
          <cell r="D163">
            <v>375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ED80F-1C79-4B5A-B934-9D66B7B74765}">
  <dimension ref="A1:Y253"/>
  <sheetViews>
    <sheetView zoomScale="70" zoomScaleNormal="70" workbookViewId="0">
      <pane xSplit="1" ySplit="1" topLeftCell="B79" activePane="bottomRight" state="frozen"/>
      <selection pane="topRight"/>
      <selection pane="bottomLeft"/>
      <selection pane="bottomRight" activeCell="D109" sqref="D109"/>
    </sheetView>
  </sheetViews>
  <sheetFormatPr defaultColWidth="15" defaultRowHeight="13.8"/>
  <cols>
    <col min="1" max="1" width="17.88671875" style="383" bestFit="1" customWidth="1"/>
    <col min="2" max="2" width="56.5546875" style="384" bestFit="1" customWidth="1"/>
    <col min="3" max="3" width="12.109375" style="385" bestFit="1" customWidth="1"/>
    <col min="4" max="4" width="19.109375" style="386" bestFit="1" customWidth="1"/>
    <col min="5" max="5" width="15" style="379" hidden="1" customWidth="1"/>
    <col min="6" max="6" width="15" style="381" hidden="1" customWidth="1"/>
    <col min="7" max="8" width="6" style="381" hidden="1" customWidth="1"/>
    <col min="9" max="9" width="5" style="381" hidden="1" customWidth="1"/>
    <col min="10" max="10" width="4" style="381" hidden="1" customWidth="1"/>
    <col min="11" max="19" width="5.33203125" style="381" hidden="1" customWidth="1"/>
    <col min="20" max="20" width="12.109375" style="381" hidden="1" customWidth="1"/>
    <col min="21" max="21" width="9.77734375" style="381" hidden="1" customWidth="1"/>
    <col min="22" max="26" width="15" style="22" customWidth="1"/>
    <col min="27" max="16384" width="15" style="22"/>
  </cols>
  <sheetData>
    <row r="1" spans="1:25" s="19" customFormat="1">
      <c r="A1" s="370" t="s">
        <v>213</v>
      </c>
      <c r="B1" s="371" t="s">
        <v>195</v>
      </c>
      <c r="C1" s="372" t="s">
        <v>134</v>
      </c>
      <c r="D1" s="373" t="s">
        <v>214</v>
      </c>
      <c r="E1" s="374" t="s">
        <v>240</v>
      </c>
      <c r="F1" s="372" t="s">
        <v>319</v>
      </c>
      <c r="G1" s="372"/>
      <c r="H1" s="372"/>
      <c r="I1" s="372"/>
      <c r="J1" s="372"/>
      <c r="K1" s="372"/>
      <c r="L1" s="372"/>
      <c r="M1" s="372"/>
      <c r="N1" s="372"/>
      <c r="O1" s="372"/>
      <c r="P1" s="372"/>
      <c r="Q1" s="372"/>
      <c r="R1" s="372"/>
      <c r="S1" s="372"/>
      <c r="T1" s="387" t="s">
        <v>254</v>
      </c>
      <c r="U1" s="396" t="s">
        <v>284</v>
      </c>
    </row>
    <row r="2" spans="1:25" s="1" customFormat="1">
      <c r="A2" s="375" t="s">
        <v>241</v>
      </c>
      <c r="B2" s="376"/>
      <c r="C2" s="377"/>
      <c r="D2" s="378"/>
      <c r="E2" s="379"/>
      <c r="F2" s="380"/>
      <c r="G2" s="381"/>
      <c r="H2" s="382"/>
      <c r="I2" s="381"/>
      <c r="J2" s="381"/>
      <c r="K2" s="381"/>
      <c r="L2" s="381"/>
      <c r="M2" s="381"/>
      <c r="N2" s="381"/>
      <c r="O2" s="381"/>
      <c r="P2" s="381"/>
      <c r="Q2" s="381"/>
      <c r="R2" s="381"/>
      <c r="S2" s="381"/>
      <c r="T2" s="381"/>
      <c r="U2" s="381"/>
    </row>
    <row r="3" spans="1:25" s="1" customFormat="1">
      <c r="A3" s="383"/>
      <c r="B3" s="384" t="s">
        <v>242</v>
      </c>
      <c r="C3" s="385" t="s">
        <v>189</v>
      </c>
      <c r="D3" s="386">
        <v>1.881</v>
      </c>
      <c r="E3" s="379">
        <v>0.5</v>
      </c>
      <c r="F3" s="380"/>
      <c r="G3" s="381"/>
      <c r="H3" s="382"/>
      <c r="I3" s="381"/>
      <c r="J3" s="381"/>
      <c r="K3" s="381"/>
      <c r="L3" s="381"/>
      <c r="M3" s="381"/>
      <c r="N3" s="381"/>
      <c r="O3" s="381"/>
      <c r="P3" s="381"/>
      <c r="Q3" s="381"/>
      <c r="R3" s="381"/>
      <c r="S3" s="381"/>
      <c r="T3" s="381"/>
      <c r="U3" s="381"/>
    </row>
    <row r="4" spans="1:25" s="1" customFormat="1">
      <c r="A4" s="383"/>
      <c r="B4" s="384" t="s">
        <v>243</v>
      </c>
      <c r="C4" s="385" t="s">
        <v>189</v>
      </c>
      <c r="D4" s="386">
        <v>1.1138132008417778E-3</v>
      </c>
      <c r="E4" s="379">
        <v>1.4</v>
      </c>
      <c r="F4" s="380"/>
      <c r="G4" s="381"/>
      <c r="H4" s="382"/>
      <c r="I4" s="381"/>
      <c r="J4" s="381"/>
      <c r="K4" s="381"/>
      <c r="L4" s="381"/>
      <c r="M4" s="381"/>
      <c r="N4" s="381"/>
      <c r="O4" s="381"/>
      <c r="P4" s="381"/>
      <c r="Q4" s="381"/>
      <c r="R4" s="381"/>
      <c r="S4" s="381"/>
      <c r="T4" s="381"/>
      <c r="U4" s="381"/>
    </row>
    <row r="5" spans="1:25" s="1" customFormat="1">
      <c r="A5" s="383"/>
      <c r="B5" s="384" t="s">
        <v>244</v>
      </c>
      <c r="C5" s="385" t="s">
        <v>245</v>
      </c>
      <c r="D5" s="386">
        <v>0.14799999999999999</v>
      </c>
      <c r="E5" s="379">
        <v>1.5</v>
      </c>
      <c r="F5" s="380"/>
      <c r="G5" s="381"/>
      <c r="H5" s="382"/>
      <c r="I5" s="381"/>
      <c r="J5" s="381"/>
      <c r="K5" s="381"/>
      <c r="L5" s="381"/>
      <c r="M5" s="381"/>
      <c r="N5" s="381"/>
      <c r="O5" s="381"/>
      <c r="P5" s="381"/>
      <c r="Q5" s="381"/>
      <c r="R5" s="381"/>
      <c r="S5" s="381"/>
      <c r="T5" s="381"/>
      <c r="U5" s="381"/>
    </row>
    <row r="6" spans="1:25" s="1" customFormat="1">
      <c r="A6" s="383"/>
      <c r="B6" s="384" t="s">
        <v>246</v>
      </c>
      <c r="C6" s="385" t="s">
        <v>245</v>
      </c>
      <c r="D6" s="386">
        <v>3.0000000000000001E-3</v>
      </c>
      <c r="E6" s="379">
        <v>1.3</v>
      </c>
      <c r="F6" s="380"/>
      <c r="G6" s="381"/>
      <c r="H6" s="382"/>
      <c r="I6" s="381"/>
      <c r="J6" s="381"/>
      <c r="K6" s="381"/>
      <c r="L6" s="381"/>
      <c r="M6" s="381"/>
      <c r="N6" s="381"/>
      <c r="O6" s="381"/>
      <c r="P6" s="381"/>
      <c r="Q6" s="381"/>
      <c r="R6" s="381"/>
      <c r="S6" s="381"/>
      <c r="T6" s="381"/>
      <c r="U6" s="381"/>
    </row>
    <row r="7" spans="1:25" s="1" customFormat="1">
      <c r="A7" s="383"/>
      <c r="B7" s="384" t="s">
        <v>247</v>
      </c>
      <c r="C7" s="385" t="s">
        <v>245</v>
      </c>
      <c r="D7" s="386">
        <v>1.7999999999999999E-2</v>
      </c>
      <c r="E7" s="379">
        <v>2</v>
      </c>
      <c r="F7" s="380"/>
      <c r="G7" s="381"/>
      <c r="H7" s="382"/>
      <c r="I7" s="381"/>
      <c r="J7" s="381"/>
      <c r="K7" s="381"/>
      <c r="L7" s="381"/>
      <c r="M7" s="381"/>
      <c r="N7" s="381"/>
      <c r="O7" s="381"/>
      <c r="P7" s="381"/>
      <c r="Q7" s="381"/>
      <c r="R7" s="381"/>
      <c r="S7" s="381"/>
      <c r="T7" s="381"/>
      <c r="U7" s="381"/>
    </row>
    <row r="8" spans="1:25" s="19" customFormat="1">
      <c r="A8" s="383"/>
      <c r="B8" s="384" t="s">
        <v>248</v>
      </c>
      <c r="C8" s="385" t="s">
        <v>245</v>
      </c>
      <c r="D8" s="386">
        <v>2.6137418226894042</v>
      </c>
      <c r="E8" s="379">
        <v>1.1000000000000001</v>
      </c>
      <c r="F8" s="380"/>
      <c r="G8" s="381"/>
      <c r="H8" s="382"/>
      <c r="I8" s="381"/>
      <c r="J8" s="381"/>
      <c r="K8" s="381"/>
      <c r="L8" s="381"/>
      <c r="M8" s="381"/>
      <c r="N8" s="381"/>
      <c r="O8" s="381"/>
      <c r="P8" s="381"/>
      <c r="Q8" s="381"/>
      <c r="R8" s="381"/>
      <c r="S8" s="381"/>
      <c r="T8" s="381"/>
      <c r="U8" s="381"/>
    </row>
    <row r="9" spans="1:25" s="1" customFormat="1">
      <c r="A9" s="383"/>
      <c r="B9" s="384" t="s">
        <v>249</v>
      </c>
      <c r="C9" s="385" t="s">
        <v>245</v>
      </c>
      <c r="D9" s="386">
        <v>2.2469999999999999</v>
      </c>
      <c r="E9" s="379">
        <v>1.2</v>
      </c>
      <c r="F9" s="380"/>
      <c r="G9" s="381"/>
      <c r="H9" s="382"/>
      <c r="I9" s="381"/>
      <c r="J9" s="381"/>
      <c r="K9" s="381"/>
      <c r="L9" s="381"/>
      <c r="M9" s="381"/>
      <c r="N9" s="381"/>
      <c r="O9" s="381"/>
      <c r="P9" s="381"/>
      <c r="Q9" s="381"/>
      <c r="R9" s="381"/>
      <c r="S9" s="381"/>
      <c r="T9" s="381"/>
      <c r="U9" s="381"/>
    </row>
    <row r="10" spans="1:25">
      <c r="B10" s="384" t="s">
        <v>250</v>
      </c>
      <c r="C10" s="385" t="s">
        <v>167</v>
      </c>
      <c r="D10" s="386">
        <v>3.1349630787699354</v>
      </c>
      <c r="E10" s="379">
        <v>0.7</v>
      </c>
      <c r="F10" s="380"/>
      <c r="H10" s="382"/>
    </row>
    <row r="11" spans="1:25">
      <c r="B11" s="384" t="s">
        <v>0</v>
      </c>
      <c r="C11" s="385" t="s">
        <v>251</v>
      </c>
      <c r="D11" s="386">
        <v>0.4</v>
      </c>
      <c r="E11" s="379">
        <v>0.19</v>
      </c>
      <c r="F11" s="380"/>
      <c r="H11" s="382"/>
    </row>
    <row r="12" spans="1:25">
      <c r="F12" s="380"/>
      <c r="H12" s="382"/>
    </row>
    <row r="13" spans="1:25" s="26" customFormat="1">
      <c r="A13" s="383"/>
      <c r="B13" s="384"/>
      <c r="C13" s="385"/>
      <c r="D13" s="386"/>
      <c r="E13" s="379"/>
      <c r="F13" s="387"/>
      <c r="G13" s="387"/>
      <c r="H13" s="387"/>
      <c r="I13" s="387"/>
      <c r="J13" s="387"/>
      <c r="K13" s="387"/>
      <c r="L13" s="387"/>
      <c r="M13" s="387"/>
      <c r="N13" s="387"/>
      <c r="O13" s="387"/>
      <c r="P13" s="387"/>
      <c r="Q13" s="387"/>
      <c r="R13" s="387"/>
      <c r="S13" s="387"/>
      <c r="T13" s="387"/>
      <c r="U13" s="387"/>
      <c r="V13" s="22"/>
      <c r="W13" s="22"/>
      <c r="X13" s="22"/>
      <c r="Y13" s="22"/>
    </row>
    <row r="14" spans="1:25" s="26" customFormat="1">
      <c r="A14" s="383"/>
      <c r="B14" s="22"/>
      <c r="C14" s="22"/>
      <c r="D14" s="22"/>
      <c r="E14" s="379"/>
      <c r="F14" s="387"/>
      <c r="G14" s="387"/>
      <c r="H14" s="387"/>
      <c r="I14" s="387"/>
      <c r="J14" s="387"/>
      <c r="K14" s="387"/>
      <c r="L14" s="387"/>
      <c r="M14" s="387"/>
      <c r="N14" s="387"/>
      <c r="O14" s="387"/>
      <c r="P14" s="387"/>
      <c r="Q14" s="387"/>
      <c r="R14" s="387"/>
      <c r="S14" s="387"/>
      <c r="T14" s="387"/>
      <c r="U14" s="387"/>
      <c r="V14" s="22"/>
      <c r="W14" s="22"/>
      <c r="X14" s="22"/>
      <c r="Y14" s="22"/>
    </row>
    <row r="15" spans="1:25" s="26" customFormat="1">
      <c r="A15" s="383"/>
      <c r="B15" s="22"/>
      <c r="C15" s="22"/>
      <c r="D15" s="22"/>
      <c r="E15" s="379"/>
      <c r="F15" s="387"/>
      <c r="G15" s="387"/>
      <c r="H15" s="387"/>
      <c r="I15" s="387"/>
      <c r="J15" s="387"/>
      <c r="K15" s="387"/>
      <c r="L15" s="387"/>
      <c r="M15" s="387"/>
      <c r="N15" s="387"/>
      <c r="O15" s="387"/>
      <c r="P15" s="387"/>
      <c r="Q15" s="387"/>
      <c r="R15" s="387"/>
      <c r="S15" s="387"/>
      <c r="T15" s="387"/>
      <c r="U15" s="387"/>
      <c r="V15" s="22"/>
      <c r="W15" s="22"/>
      <c r="X15" s="22"/>
      <c r="Y15" s="22"/>
    </row>
    <row r="16" spans="1:25" s="26" customFormat="1">
      <c r="A16" s="383"/>
      <c r="B16" s="22"/>
      <c r="C16" s="22"/>
      <c r="D16" s="22"/>
      <c r="E16" s="379"/>
      <c r="F16" s="387"/>
      <c r="G16" s="387"/>
      <c r="H16" s="387"/>
      <c r="I16" s="387"/>
      <c r="J16" s="387"/>
      <c r="K16" s="387"/>
      <c r="L16" s="387"/>
      <c r="M16" s="387"/>
      <c r="N16" s="387"/>
      <c r="O16" s="387"/>
      <c r="P16" s="387"/>
      <c r="Q16" s="387"/>
      <c r="R16" s="387"/>
      <c r="S16" s="387"/>
      <c r="T16" s="387"/>
      <c r="U16" s="387"/>
      <c r="V16" s="22"/>
      <c r="W16" s="22"/>
      <c r="X16" s="22"/>
      <c r="Y16" s="22"/>
    </row>
    <row r="17" spans="1:25" s="26" customFormat="1">
      <c r="A17" s="376" t="s">
        <v>252</v>
      </c>
      <c r="B17" s="376"/>
      <c r="C17" s="377"/>
      <c r="D17" s="378"/>
      <c r="E17" s="379"/>
      <c r="F17" s="387"/>
      <c r="G17" s="387"/>
      <c r="H17" s="387"/>
      <c r="I17" s="387"/>
      <c r="J17" s="387"/>
      <c r="K17" s="387"/>
      <c r="L17" s="387"/>
      <c r="M17" s="387"/>
      <c r="N17" s="387"/>
      <c r="O17" s="387"/>
      <c r="P17" s="387"/>
      <c r="Q17" s="387"/>
      <c r="R17" s="387"/>
      <c r="S17" s="387"/>
      <c r="T17" s="387"/>
      <c r="U17" s="387"/>
      <c r="V17" s="22"/>
      <c r="W17" s="22"/>
      <c r="X17" s="22"/>
      <c r="Y17" s="22"/>
    </row>
    <row r="18" spans="1:25" s="26" customFormat="1">
      <c r="A18" s="383"/>
      <c r="B18" s="20" t="s">
        <v>217</v>
      </c>
      <c r="C18" s="1" t="s">
        <v>167</v>
      </c>
      <c r="D18" s="21">
        <f>68/1000</f>
        <v>6.8000000000000005E-2</v>
      </c>
      <c r="E18" s="379"/>
      <c r="F18" s="387"/>
      <c r="G18" s="387"/>
      <c r="H18" s="387"/>
      <c r="I18" s="387"/>
      <c r="J18" s="387"/>
      <c r="K18" s="387"/>
      <c r="L18" s="387"/>
      <c r="M18" s="387"/>
      <c r="N18" s="387"/>
      <c r="O18" s="387"/>
      <c r="P18" s="387"/>
      <c r="Q18" s="387"/>
      <c r="R18" s="387"/>
      <c r="S18" s="387"/>
      <c r="T18" s="387"/>
      <c r="U18" s="387"/>
      <c r="V18" s="22"/>
      <c r="W18" s="22"/>
      <c r="X18" s="22"/>
      <c r="Y18" s="22"/>
    </row>
    <row r="19" spans="1:25" s="26" customFormat="1">
      <c r="A19" s="383"/>
      <c r="B19" s="20" t="s">
        <v>219</v>
      </c>
      <c r="C19" s="1" t="s">
        <v>167</v>
      </c>
      <c r="D19" s="21">
        <f>65/1000</f>
        <v>6.5000000000000002E-2</v>
      </c>
      <c r="E19" s="379"/>
      <c r="F19" s="387"/>
      <c r="G19" s="387"/>
      <c r="H19" s="387"/>
      <c r="I19" s="387"/>
      <c r="J19" s="387"/>
      <c r="K19" s="387"/>
      <c r="L19" s="387"/>
      <c r="M19" s="387"/>
      <c r="N19" s="387"/>
      <c r="O19" s="387"/>
      <c r="P19" s="387"/>
      <c r="Q19" s="387"/>
      <c r="R19" s="387"/>
      <c r="S19" s="387"/>
      <c r="T19" s="387"/>
      <c r="U19" s="387"/>
      <c r="V19" s="22"/>
      <c r="W19" s="22"/>
      <c r="X19" s="22"/>
      <c r="Y19" s="22"/>
    </row>
    <row r="20" spans="1:25" s="26" customFormat="1">
      <c r="A20" s="383"/>
      <c r="B20" s="20" t="s">
        <v>216</v>
      </c>
      <c r="C20" s="1" t="s">
        <v>167</v>
      </c>
      <c r="D20" s="21">
        <f>44/1000</f>
        <v>4.3999999999999997E-2</v>
      </c>
      <c r="E20" s="379"/>
      <c r="F20" s="387"/>
      <c r="G20" s="387"/>
      <c r="H20" s="387"/>
      <c r="I20" s="387"/>
      <c r="J20" s="387"/>
      <c r="K20" s="387"/>
      <c r="L20" s="387"/>
      <c r="M20" s="387"/>
      <c r="N20" s="387"/>
      <c r="O20" s="387"/>
      <c r="P20" s="387"/>
      <c r="Q20" s="387"/>
      <c r="R20" s="387"/>
      <c r="S20" s="387"/>
      <c r="T20" s="387"/>
      <c r="U20" s="387"/>
      <c r="V20" s="22"/>
      <c r="W20" s="22"/>
      <c r="X20" s="22"/>
      <c r="Y20" s="22"/>
    </row>
    <row r="21" spans="1:25" s="26" customFormat="1">
      <c r="A21" s="383"/>
      <c r="B21" s="20" t="s">
        <v>218</v>
      </c>
      <c r="C21" s="1" t="s">
        <v>167</v>
      </c>
      <c r="D21" s="21">
        <f>35/1000</f>
        <v>3.5000000000000003E-2</v>
      </c>
      <c r="E21" s="379"/>
      <c r="F21" s="387"/>
      <c r="G21" s="387"/>
      <c r="H21" s="387"/>
      <c r="I21" s="387"/>
      <c r="J21" s="387"/>
      <c r="K21" s="387"/>
      <c r="L21" s="387"/>
      <c r="M21" s="387"/>
      <c r="N21" s="387"/>
      <c r="O21" s="387"/>
      <c r="P21" s="387"/>
      <c r="Q21" s="387"/>
      <c r="R21" s="387"/>
      <c r="S21" s="387"/>
      <c r="T21" s="387"/>
      <c r="U21" s="387"/>
      <c r="V21" s="22"/>
      <c r="W21" s="22"/>
      <c r="X21" s="22"/>
      <c r="Y21" s="22"/>
    </row>
    <row r="22" spans="1:25" s="19" customFormat="1">
      <c r="A22" s="383"/>
      <c r="B22" s="20" t="s">
        <v>220</v>
      </c>
      <c r="C22" s="1" t="s">
        <v>167</v>
      </c>
      <c r="D22" s="21">
        <f>76/1000</f>
        <v>7.5999999999999998E-2</v>
      </c>
      <c r="E22" s="379"/>
      <c r="F22" s="387"/>
      <c r="G22" s="387"/>
      <c r="H22" s="387"/>
      <c r="I22" s="387"/>
      <c r="J22" s="387"/>
      <c r="K22" s="387"/>
      <c r="L22" s="387"/>
      <c r="M22" s="387"/>
      <c r="N22" s="387"/>
      <c r="O22" s="387"/>
      <c r="P22" s="387"/>
      <c r="Q22" s="387"/>
      <c r="R22" s="387"/>
      <c r="S22" s="387"/>
      <c r="T22" s="387"/>
      <c r="U22" s="387"/>
      <c r="V22" s="22"/>
      <c r="W22" s="22"/>
      <c r="X22" s="22"/>
      <c r="Y22" s="22"/>
    </row>
    <row r="23" spans="1:25" s="26" customFormat="1">
      <c r="A23" s="383"/>
      <c r="B23" s="20" t="s">
        <v>221</v>
      </c>
      <c r="C23" s="1" t="s">
        <v>167</v>
      </c>
      <c r="D23" s="21">
        <f>46/1000</f>
        <v>4.5999999999999999E-2</v>
      </c>
      <c r="E23" s="379"/>
      <c r="F23" s="387"/>
      <c r="G23" s="387"/>
      <c r="H23" s="387"/>
      <c r="I23" s="387"/>
      <c r="J23" s="387"/>
      <c r="K23" s="387"/>
      <c r="L23" s="387"/>
      <c r="M23" s="387"/>
      <c r="N23" s="387"/>
      <c r="O23" s="387"/>
      <c r="P23" s="387"/>
      <c r="Q23" s="387"/>
      <c r="R23" s="387"/>
      <c r="S23" s="387"/>
      <c r="T23" s="387"/>
      <c r="U23" s="387"/>
      <c r="V23" s="22"/>
      <c r="W23" s="22"/>
      <c r="X23" s="22"/>
      <c r="Y23" s="22"/>
    </row>
    <row r="24" spans="1:25" s="26" customFormat="1">
      <c r="A24" s="383"/>
      <c r="B24" s="20" t="s">
        <v>222</v>
      </c>
      <c r="C24" s="1" t="s">
        <v>167</v>
      </c>
      <c r="D24" s="21">
        <f>7.4/1000</f>
        <v>7.4000000000000003E-3</v>
      </c>
      <c r="E24" s="379"/>
      <c r="F24" s="387"/>
      <c r="G24" s="387"/>
      <c r="H24" s="387"/>
      <c r="I24" s="387"/>
      <c r="J24" s="387"/>
      <c r="K24" s="387"/>
      <c r="L24" s="387"/>
      <c r="M24" s="387"/>
      <c r="N24" s="387"/>
      <c r="O24" s="387"/>
      <c r="P24" s="387"/>
      <c r="Q24" s="387"/>
      <c r="R24" s="387"/>
      <c r="S24" s="387"/>
      <c r="T24" s="387"/>
      <c r="U24" s="387"/>
      <c r="V24" s="22"/>
      <c r="W24" s="22"/>
      <c r="X24" s="22"/>
      <c r="Y24" s="22"/>
    </row>
    <row r="25" spans="1:25" s="26" customFormat="1">
      <c r="A25" s="383"/>
      <c r="B25" s="384"/>
      <c r="C25" s="385"/>
      <c r="D25" s="386"/>
      <c r="E25" s="379"/>
      <c r="F25" s="387"/>
      <c r="G25" s="387"/>
      <c r="H25" s="387"/>
      <c r="I25" s="387"/>
      <c r="J25" s="387"/>
      <c r="K25" s="387"/>
      <c r="L25" s="387"/>
      <c r="M25" s="387"/>
      <c r="N25" s="387"/>
      <c r="O25" s="387"/>
      <c r="P25" s="387"/>
      <c r="Q25" s="387"/>
      <c r="R25" s="387"/>
      <c r="S25" s="387"/>
      <c r="T25" s="387"/>
      <c r="U25" s="387"/>
      <c r="V25" s="22"/>
      <c r="W25" s="22"/>
      <c r="X25" s="22"/>
      <c r="Y25" s="22"/>
    </row>
    <row r="26" spans="1:25" s="27" customFormat="1">
      <c r="A26" s="376" t="s">
        <v>253</v>
      </c>
      <c r="B26" s="376"/>
      <c r="C26" s="377"/>
      <c r="D26" s="378"/>
      <c r="E26" s="374"/>
      <c r="F26" s="372"/>
      <c r="G26" s="372"/>
      <c r="H26" s="372"/>
      <c r="I26" s="372"/>
      <c r="J26" s="372"/>
      <c r="K26" s="372"/>
      <c r="L26" s="372"/>
      <c r="M26" s="372"/>
      <c r="N26" s="372"/>
      <c r="O26" s="372"/>
      <c r="P26" s="372"/>
      <c r="Q26" s="372"/>
      <c r="R26" s="372"/>
      <c r="S26" s="372"/>
      <c r="T26" s="372"/>
      <c r="U26" s="372"/>
      <c r="V26" s="26"/>
      <c r="W26" s="26"/>
      <c r="X26" s="26"/>
      <c r="Y26" s="26"/>
    </row>
    <row r="27" spans="1:25" s="26" customFormat="1">
      <c r="A27" s="383"/>
      <c r="B27" s="384" t="s">
        <v>188</v>
      </c>
      <c r="C27" s="385" t="s">
        <v>167</v>
      </c>
      <c r="D27" s="418">
        <f>11.7/1000</f>
        <v>1.1699999999999999E-2</v>
      </c>
      <c r="E27" s="379">
        <v>23</v>
      </c>
      <c r="F27" s="387"/>
      <c r="G27" s="387"/>
      <c r="H27" s="387"/>
      <c r="I27" s="387"/>
      <c r="J27" s="387"/>
      <c r="K27" s="387"/>
      <c r="L27" s="387"/>
      <c r="M27" s="387"/>
      <c r="N27" s="387"/>
      <c r="O27" s="387"/>
      <c r="P27" s="387"/>
      <c r="Q27" s="387"/>
      <c r="R27" s="387"/>
      <c r="S27" s="387"/>
      <c r="T27" s="387"/>
      <c r="U27" s="387"/>
    </row>
    <row r="28" spans="1:25" s="26" customFormat="1" ht="14.4" thickBot="1">
      <c r="A28" s="383"/>
      <c r="B28" s="384" t="s">
        <v>170</v>
      </c>
      <c r="C28" s="385" t="s">
        <v>167</v>
      </c>
      <c r="D28" s="418">
        <f t="shared" ref="D28:D42" si="0">11.7/1000</f>
        <v>1.1699999999999999E-2</v>
      </c>
      <c r="E28" s="379">
        <v>23</v>
      </c>
      <c r="F28" s="387"/>
      <c r="G28" s="387"/>
      <c r="H28" s="387"/>
      <c r="I28" s="387"/>
      <c r="J28" s="387"/>
      <c r="K28" s="387"/>
      <c r="L28" s="387"/>
      <c r="M28" s="387"/>
      <c r="N28" s="387"/>
      <c r="O28" s="387"/>
      <c r="P28" s="387"/>
      <c r="Q28" s="387"/>
      <c r="R28" s="387"/>
      <c r="S28" s="387"/>
      <c r="T28" s="387" t="s">
        <v>254</v>
      </c>
      <c r="U28" s="396" t="s">
        <v>284</v>
      </c>
    </row>
    <row r="29" spans="1:25" s="26" customFormat="1" ht="14.4" thickBot="1">
      <c r="A29" s="383"/>
      <c r="B29" s="384" t="s">
        <v>204</v>
      </c>
      <c r="C29" s="385" t="s">
        <v>167</v>
      </c>
      <c r="D29" s="418">
        <f t="shared" si="0"/>
        <v>1.1699999999999999E-2</v>
      </c>
      <c r="E29" s="379">
        <v>23</v>
      </c>
      <c r="F29" s="387"/>
      <c r="G29" s="388">
        <v>6.3E-2</v>
      </c>
      <c r="H29" s="388">
        <v>0.125</v>
      </c>
      <c r="I29" s="388">
        <v>0.25</v>
      </c>
      <c r="J29" s="388">
        <v>0.5</v>
      </c>
      <c r="K29" s="388">
        <v>1</v>
      </c>
      <c r="L29" s="388">
        <v>2</v>
      </c>
      <c r="M29" s="388">
        <v>4</v>
      </c>
      <c r="N29" s="388">
        <v>6.3</v>
      </c>
      <c r="O29" s="388">
        <v>8</v>
      </c>
      <c r="P29" s="388">
        <v>12</v>
      </c>
      <c r="Q29" s="388">
        <v>16</v>
      </c>
      <c r="R29" s="388">
        <v>20</v>
      </c>
      <c r="S29" s="389">
        <v>32</v>
      </c>
      <c r="T29" s="390"/>
      <c r="U29" s="387"/>
    </row>
    <row r="30" spans="1:25" s="19" customFormat="1" ht="14.4" thickBot="1">
      <c r="A30" s="383"/>
      <c r="B30" s="384" t="s">
        <v>255</v>
      </c>
      <c r="C30" s="385" t="s">
        <v>167</v>
      </c>
      <c r="D30" s="418">
        <f t="shared" si="0"/>
        <v>1.1699999999999999E-2</v>
      </c>
      <c r="E30" s="379">
        <v>25</v>
      </c>
      <c r="F30" s="387"/>
      <c r="G30" s="391">
        <v>1</v>
      </c>
      <c r="H30" s="392">
        <v>1</v>
      </c>
      <c r="I30" s="392">
        <v>1</v>
      </c>
      <c r="J30" s="392">
        <v>1</v>
      </c>
      <c r="K30" s="392">
        <v>2</v>
      </c>
      <c r="L30" s="392">
        <v>2</v>
      </c>
      <c r="M30" s="392">
        <v>2</v>
      </c>
      <c r="N30" s="392">
        <v>3</v>
      </c>
      <c r="O30" s="392">
        <v>20</v>
      </c>
      <c r="P30" s="392">
        <v>81.666666666666671</v>
      </c>
      <c r="Q30" s="392">
        <v>80</v>
      </c>
      <c r="R30" s="392">
        <v>95</v>
      </c>
      <c r="S30" s="393">
        <v>100</v>
      </c>
      <c r="T30" s="390">
        <v>2.69</v>
      </c>
      <c r="U30" s="387"/>
      <c r="V30" s="22"/>
      <c r="W30" s="22"/>
      <c r="X30" s="22"/>
      <c r="Y30" s="22"/>
    </row>
    <row r="31" spans="1:25" s="19" customFormat="1" ht="14.4" thickBot="1">
      <c r="A31" s="383"/>
      <c r="B31" s="384" t="s">
        <v>256</v>
      </c>
      <c r="C31" s="385" t="s">
        <v>167</v>
      </c>
      <c r="D31" s="418">
        <f t="shared" si="0"/>
        <v>1.1699999999999999E-2</v>
      </c>
      <c r="E31" s="379">
        <v>26</v>
      </c>
      <c r="F31" s="387"/>
      <c r="G31" s="394">
        <v>1</v>
      </c>
      <c r="H31" s="395">
        <v>1</v>
      </c>
      <c r="I31" s="395">
        <v>1</v>
      </c>
      <c r="J31" s="395">
        <v>1</v>
      </c>
      <c r="K31" s="395">
        <v>1</v>
      </c>
      <c r="L31" s="395">
        <v>2</v>
      </c>
      <c r="M31" s="395">
        <v>5</v>
      </c>
      <c r="N31" s="395">
        <v>20</v>
      </c>
      <c r="O31" s="395">
        <v>40</v>
      </c>
      <c r="P31" s="395">
        <v>60</v>
      </c>
      <c r="Q31" s="395">
        <v>90</v>
      </c>
      <c r="R31" s="395">
        <v>100</v>
      </c>
      <c r="S31" s="395" t="e">
        <v>#N/A</v>
      </c>
      <c r="T31" s="390">
        <v>2.68</v>
      </c>
      <c r="U31" s="387"/>
      <c r="V31" s="22"/>
      <c r="W31" s="22"/>
      <c r="X31" s="22"/>
      <c r="Y31" s="22"/>
    </row>
    <row r="32" spans="1:25" s="26" customFormat="1" ht="14.4" thickBot="1">
      <c r="A32" s="383"/>
      <c r="B32" s="384" t="s">
        <v>257</v>
      </c>
      <c r="C32" s="385" t="s">
        <v>167</v>
      </c>
      <c r="D32" s="418">
        <f t="shared" si="0"/>
        <v>1.1699999999999999E-2</v>
      </c>
      <c r="E32" s="379">
        <v>26</v>
      </c>
      <c r="F32" s="387"/>
      <c r="G32" s="394">
        <v>1</v>
      </c>
      <c r="H32" s="395">
        <v>1</v>
      </c>
      <c r="I32" s="395">
        <v>1</v>
      </c>
      <c r="J32" s="395">
        <v>1</v>
      </c>
      <c r="K32" s="395">
        <v>1</v>
      </c>
      <c r="L32" s="395">
        <v>2</v>
      </c>
      <c r="M32" s="395">
        <v>8</v>
      </c>
      <c r="N32" s="395">
        <v>30</v>
      </c>
      <c r="O32" s="395">
        <v>60</v>
      </c>
      <c r="P32" s="395">
        <v>95</v>
      </c>
      <c r="Q32" s="395">
        <v>100</v>
      </c>
      <c r="R32" s="395" t="e">
        <v>#N/A</v>
      </c>
      <c r="S32" s="395" t="e">
        <v>#N/A</v>
      </c>
      <c r="T32" s="390">
        <v>2.68</v>
      </c>
      <c r="U32" s="387"/>
    </row>
    <row r="33" spans="1:25" s="26" customFormat="1" ht="14.4" thickBot="1">
      <c r="A33" s="383"/>
      <c r="B33" s="384" t="s">
        <v>258</v>
      </c>
      <c r="C33" s="385" t="s">
        <v>167</v>
      </c>
      <c r="D33" s="418">
        <f t="shared" si="0"/>
        <v>1.1699999999999999E-2</v>
      </c>
      <c r="E33" s="379">
        <v>27</v>
      </c>
      <c r="F33" s="387"/>
      <c r="G33" s="394">
        <v>1</v>
      </c>
      <c r="H33" s="395">
        <v>1</v>
      </c>
      <c r="I33" s="395">
        <v>1</v>
      </c>
      <c r="J33" s="395">
        <v>1</v>
      </c>
      <c r="K33" s="395">
        <v>2</v>
      </c>
      <c r="L33" s="395">
        <v>2</v>
      </c>
      <c r="M33" s="395">
        <v>30</v>
      </c>
      <c r="N33" s="395">
        <v>60</v>
      </c>
      <c r="O33" s="395">
        <v>90</v>
      </c>
      <c r="P33" s="395">
        <v>100</v>
      </c>
      <c r="Q33" s="395" t="e">
        <v>#N/A</v>
      </c>
      <c r="R33" s="395" t="e">
        <v>#N/A</v>
      </c>
      <c r="S33" s="395" t="e">
        <v>#N/A</v>
      </c>
      <c r="T33" s="390">
        <v>2.91</v>
      </c>
      <c r="U33" s="387"/>
    </row>
    <row r="34" spans="1:25" s="26" customFormat="1" ht="14.4" thickBot="1">
      <c r="A34" s="383"/>
      <c r="B34" s="384" t="s">
        <v>259</v>
      </c>
      <c r="C34" s="385" t="s">
        <v>167</v>
      </c>
      <c r="D34" s="418">
        <f t="shared" si="0"/>
        <v>1.1699999999999999E-2</v>
      </c>
      <c r="E34" s="379">
        <v>26</v>
      </c>
      <c r="F34" s="387"/>
      <c r="G34" s="394">
        <v>1</v>
      </c>
      <c r="H34" s="395">
        <v>1</v>
      </c>
      <c r="I34" s="395">
        <v>1</v>
      </c>
      <c r="J34" s="395">
        <v>1</v>
      </c>
      <c r="K34" s="395">
        <v>5</v>
      </c>
      <c r="L34" s="395">
        <v>30</v>
      </c>
      <c r="M34" s="395">
        <v>60</v>
      </c>
      <c r="N34" s="395">
        <v>90</v>
      </c>
      <c r="O34" s="395">
        <v>100</v>
      </c>
      <c r="P34" s="395" t="e">
        <v>#N/A</v>
      </c>
      <c r="Q34" s="395" t="e">
        <v>#N/A</v>
      </c>
      <c r="R34" s="395" t="e">
        <v>#N/A</v>
      </c>
      <c r="S34" s="395" t="e">
        <v>#N/A</v>
      </c>
      <c r="T34" s="390">
        <v>2.69</v>
      </c>
      <c r="U34" s="387"/>
    </row>
    <row r="35" spans="1:25" s="19" customFormat="1">
      <c r="A35" s="383"/>
      <c r="B35" s="384" t="s">
        <v>260</v>
      </c>
      <c r="C35" s="385" t="s">
        <v>167</v>
      </c>
      <c r="D35" s="418">
        <f t="shared" si="0"/>
        <v>1.1699999999999999E-2</v>
      </c>
      <c r="E35" s="379">
        <v>16</v>
      </c>
      <c r="F35" s="396"/>
      <c r="G35" s="394">
        <v>8</v>
      </c>
      <c r="H35" s="395">
        <v>20</v>
      </c>
      <c r="I35" s="395">
        <v>30</v>
      </c>
      <c r="J35" s="395">
        <v>50</v>
      </c>
      <c r="K35" s="395">
        <v>60</v>
      </c>
      <c r="L35" s="395">
        <v>70</v>
      </c>
      <c r="M35" s="395">
        <v>88</v>
      </c>
      <c r="N35" s="395">
        <v>100</v>
      </c>
      <c r="O35" s="395" t="e">
        <v>#N/A</v>
      </c>
      <c r="P35" s="395" t="e">
        <v>#N/A</v>
      </c>
      <c r="Q35" s="395" t="e">
        <v>#N/A</v>
      </c>
      <c r="R35" s="395" t="e">
        <v>#N/A</v>
      </c>
      <c r="S35" s="395" t="e">
        <v>#N/A</v>
      </c>
      <c r="T35" s="390">
        <v>2.76</v>
      </c>
      <c r="U35" s="396"/>
      <c r="V35" s="26"/>
      <c r="W35" s="26"/>
      <c r="X35" s="26"/>
      <c r="Y35" s="26"/>
    </row>
    <row r="36" spans="1:25" s="19" customFormat="1">
      <c r="A36" s="383"/>
      <c r="B36" s="384"/>
      <c r="C36" s="385"/>
      <c r="D36" s="418"/>
      <c r="E36" s="397"/>
      <c r="F36" s="396"/>
      <c r="G36" s="396"/>
      <c r="H36" s="396"/>
      <c r="I36" s="396"/>
      <c r="J36" s="396"/>
      <c r="K36" s="396"/>
      <c r="L36" s="396"/>
      <c r="M36" s="396"/>
      <c r="N36" s="396"/>
      <c r="O36" s="396"/>
      <c r="P36" s="396"/>
      <c r="Q36" s="396"/>
      <c r="R36" s="396"/>
      <c r="S36" s="396"/>
      <c r="T36" s="390"/>
      <c r="U36" s="396"/>
      <c r="V36" s="22"/>
      <c r="W36" s="22"/>
      <c r="X36" s="22"/>
      <c r="Y36" s="22"/>
    </row>
    <row r="37" spans="1:25" s="26" customFormat="1">
      <c r="A37" s="383"/>
      <c r="B37" s="384" t="s">
        <v>261</v>
      </c>
      <c r="C37" s="385" t="s">
        <v>167</v>
      </c>
      <c r="D37" s="418">
        <f t="shared" si="0"/>
        <v>1.1699999999999999E-2</v>
      </c>
      <c r="E37" s="397">
        <v>25</v>
      </c>
      <c r="F37" s="396"/>
      <c r="G37" s="398">
        <v>1</v>
      </c>
      <c r="H37" s="399">
        <v>1</v>
      </c>
      <c r="I37" s="399">
        <v>1</v>
      </c>
      <c r="J37" s="399">
        <v>1</v>
      </c>
      <c r="K37" s="399">
        <v>2</v>
      </c>
      <c r="L37" s="399">
        <v>2</v>
      </c>
      <c r="M37" s="399">
        <v>2</v>
      </c>
      <c r="N37" s="399">
        <v>3</v>
      </c>
      <c r="O37" s="399">
        <v>20</v>
      </c>
      <c r="P37" s="399">
        <v>81.666666666666671</v>
      </c>
      <c r="Q37" s="399">
        <v>80</v>
      </c>
      <c r="R37" s="399">
        <v>95</v>
      </c>
      <c r="S37" s="399">
        <v>100</v>
      </c>
      <c r="T37" s="390">
        <v>2.69</v>
      </c>
      <c r="U37" s="396"/>
      <c r="V37" s="22"/>
      <c r="W37" s="22"/>
      <c r="X37" s="22"/>
      <c r="Y37" s="22"/>
    </row>
    <row r="38" spans="1:25" s="26" customFormat="1">
      <c r="A38" s="383"/>
      <c r="B38" s="384" t="s">
        <v>262</v>
      </c>
      <c r="C38" s="385" t="s">
        <v>167</v>
      </c>
      <c r="D38" s="418">
        <f t="shared" si="0"/>
        <v>1.1699999999999999E-2</v>
      </c>
      <c r="E38" s="397">
        <v>26</v>
      </c>
      <c r="F38" s="396"/>
      <c r="G38" s="398">
        <v>1</v>
      </c>
      <c r="H38" s="399">
        <v>1</v>
      </c>
      <c r="I38" s="399">
        <v>1</v>
      </c>
      <c r="J38" s="399">
        <v>1</v>
      </c>
      <c r="K38" s="399">
        <v>1</v>
      </c>
      <c r="L38" s="399">
        <v>2</v>
      </c>
      <c r="M38" s="399">
        <v>2</v>
      </c>
      <c r="N38" s="399">
        <v>20</v>
      </c>
      <c r="O38" s="399">
        <v>40</v>
      </c>
      <c r="P38" s="399">
        <v>60</v>
      </c>
      <c r="Q38" s="399">
        <v>90</v>
      </c>
      <c r="R38" s="399">
        <v>100</v>
      </c>
      <c r="S38" s="399" t="e">
        <v>#N/A</v>
      </c>
      <c r="T38" s="390">
        <v>2.68</v>
      </c>
      <c r="U38" s="396"/>
      <c r="V38" s="22"/>
      <c r="W38" s="22"/>
      <c r="X38" s="22"/>
      <c r="Y38" s="22"/>
    </row>
    <row r="39" spans="1:25" s="26" customFormat="1">
      <c r="A39" s="383"/>
      <c r="B39" s="384" t="s">
        <v>263</v>
      </c>
      <c r="C39" s="385" t="s">
        <v>167</v>
      </c>
      <c r="D39" s="418">
        <f t="shared" si="0"/>
        <v>1.1699999999999999E-2</v>
      </c>
      <c r="E39" s="397">
        <v>26</v>
      </c>
      <c r="F39" s="396"/>
      <c r="G39" s="398">
        <v>1</v>
      </c>
      <c r="H39" s="399">
        <v>1</v>
      </c>
      <c r="I39" s="399">
        <v>1</v>
      </c>
      <c r="J39" s="399">
        <v>1</v>
      </c>
      <c r="K39" s="399">
        <v>1</v>
      </c>
      <c r="L39" s="399">
        <v>2</v>
      </c>
      <c r="M39" s="399">
        <v>4</v>
      </c>
      <c r="N39" s="399">
        <v>30</v>
      </c>
      <c r="O39" s="399">
        <v>65</v>
      </c>
      <c r="P39" s="399">
        <v>95</v>
      </c>
      <c r="Q39" s="399">
        <v>100</v>
      </c>
      <c r="R39" s="399" t="e">
        <v>#N/A</v>
      </c>
      <c r="S39" s="399" t="e">
        <v>#N/A</v>
      </c>
      <c r="T39" s="390">
        <v>2.68</v>
      </c>
      <c r="U39" s="396"/>
      <c r="V39" s="22"/>
      <c r="W39" s="22"/>
      <c r="X39" s="22"/>
      <c r="Y39" s="22"/>
    </row>
    <row r="40" spans="1:25" s="26" customFormat="1">
      <c r="A40" s="383"/>
      <c r="B40" s="384" t="s">
        <v>264</v>
      </c>
      <c r="C40" s="385" t="s">
        <v>167</v>
      </c>
      <c r="D40" s="418">
        <f t="shared" si="0"/>
        <v>1.1699999999999999E-2</v>
      </c>
      <c r="E40" s="397">
        <v>27</v>
      </c>
      <c r="F40" s="396"/>
      <c r="G40" s="398">
        <v>1</v>
      </c>
      <c r="H40" s="399">
        <v>1</v>
      </c>
      <c r="I40" s="399">
        <v>1</v>
      </c>
      <c r="J40" s="399">
        <v>1</v>
      </c>
      <c r="K40" s="399">
        <v>2</v>
      </c>
      <c r="L40" s="399">
        <v>2</v>
      </c>
      <c r="M40" s="399">
        <v>30</v>
      </c>
      <c r="N40" s="399">
        <v>60</v>
      </c>
      <c r="O40" s="399">
        <v>90</v>
      </c>
      <c r="P40" s="399">
        <v>100</v>
      </c>
      <c r="Q40" s="399" t="e">
        <v>#N/A</v>
      </c>
      <c r="R40" s="399" t="e">
        <v>#N/A</v>
      </c>
      <c r="S40" s="399" t="e">
        <v>#N/A</v>
      </c>
      <c r="T40" s="390">
        <v>2.91</v>
      </c>
      <c r="U40" s="396"/>
      <c r="V40" s="22"/>
      <c r="W40" s="22"/>
      <c r="X40" s="22"/>
      <c r="Y40" s="22"/>
    </row>
    <row r="41" spans="1:25" s="26" customFormat="1">
      <c r="A41" s="383"/>
      <c r="B41" s="384" t="s">
        <v>265</v>
      </c>
      <c r="C41" s="385" t="s">
        <v>167</v>
      </c>
      <c r="D41" s="418">
        <f t="shared" si="0"/>
        <v>1.1699999999999999E-2</v>
      </c>
      <c r="E41" s="397">
        <v>26</v>
      </c>
      <c r="F41" s="396"/>
      <c r="G41" s="398">
        <v>1</v>
      </c>
      <c r="H41" s="399">
        <v>1</v>
      </c>
      <c r="I41" s="399">
        <v>1</v>
      </c>
      <c r="J41" s="399">
        <v>1</v>
      </c>
      <c r="K41" s="399">
        <v>5</v>
      </c>
      <c r="L41" s="399">
        <v>30</v>
      </c>
      <c r="M41" s="399">
        <v>60</v>
      </c>
      <c r="N41" s="399">
        <v>95</v>
      </c>
      <c r="O41" s="399">
        <v>100</v>
      </c>
      <c r="P41" s="399" t="e">
        <v>#N/A</v>
      </c>
      <c r="Q41" s="399" t="e">
        <v>#N/A</v>
      </c>
      <c r="R41" s="399" t="e">
        <v>#N/A</v>
      </c>
      <c r="S41" s="399" t="e">
        <v>#N/A</v>
      </c>
      <c r="T41" s="390">
        <v>2.69</v>
      </c>
      <c r="U41" s="396"/>
      <c r="V41" s="22"/>
      <c r="W41" s="22"/>
      <c r="X41" s="22"/>
      <c r="Y41" s="22"/>
    </row>
    <row r="42" spans="1:25">
      <c r="B42" s="384" t="s">
        <v>266</v>
      </c>
      <c r="C42" s="385" t="s">
        <v>167</v>
      </c>
      <c r="D42" s="418">
        <f t="shared" si="0"/>
        <v>1.1699999999999999E-2</v>
      </c>
      <c r="E42" s="397">
        <v>16</v>
      </c>
      <c r="F42" s="396"/>
      <c r="G42" s="398">
        <v>8</v>
      </c>
      <c r="H42" s="399">
        <v>20</v>
      </c>
      <c r="I42" s="399">
        <v>30</v>
      </c>
      <c r="J42" s="399">
        <v>50</v>
      </c>
      <c r="K42" s="399">
        <v>60</v>
      </c>
      <c r="L42" s="399">
        <v>70</v>
      </c>
      <c r="M42" s="399">
        <v>88</v>
      </c>
      <c r="N42" s="399">
        <v>100</v>
      </c>
      <c r="O42" s="399" t="e">
        <v>#N/A</v>
      </c>
      <c r="P42" s="399" t="e">
        <v>#N/A</v>
      </c>
      <c r="Q42" s="399" t="e">
        <v>#N/A</v>
      </c>
      <c r="R42" s="399" t="e">
        <v>#N/A</v>
      </c>
      <c r="S42" s="399" t="e">
        <v>#N/A</v>
      </c>
      <c r="T42" s="390">
        <v>2.76</v>
      </c>
      <c r="U42" s="396"/>
      <c r="V42" s="19"/>
      <c r="W42" s="19"/>
      <c r="X42" s="19"/>
      <c r="Y42" s="19"/>
    </row>
    <row r="43" spans="1:25" s="27" customFormat="1">
      <c r="A43" s="383"/>
      <c r="B43" s="384"/>
      <c r="C43" s="385"/>
      <c r="D43" s="386"/>
      <c r="E43" s="379"/>
      <c r="F43" s="396"/>
      <c r="G43" s="396"/>
      <c r="H43" s="396"/>
      <c r="I43" s="396"/>
      <c r="J43" s="396"/>
      <c r="K43" s="396"/>
      <c r="L43" s="396"/>
      <c r="M43" s="396"/>
      <c r="N43" s="396"/>
      <c r="O43" s="396"/>
      <c r="P43" s="396"/>
      <c r="Q43" s="396"/>
      <c r="R43" s="396"/>
      <c r="S43" s="396"/>
      <c r="T43" s="390"/>
      <c r="U43" s="396"/>
      <c r="V43" s="19"/>
      <c r="W43" s="19"/>
      <c r="X43" s="19"/>
      <c r="Y43" s="19"/>
    </row>
    <row r="44" spans="1:25" s="27" customFormat="1">
      <c r="A44" s="383"/>
      <c r="B44" s="384" t="s">
        <v>267</v>
      </c>
      <c r="C44" s="385" t="s">
        <v>167</v>
      </c>
      <c r="D44" s="386">
        <f>3.3/1000</f>
        <v>3.3E-3</v>
      </c>
      <c r="E44" s="379">
        <v>8</v>
      </c>
      <c r="F44" s="396"/>
      <c r="G44" s="398">
        <v>1</v>
      </c>
      <c r="H44" s="399">
        <v>1</v>
      </c>
      <c r="I44" s="399">
        <v>1</v>
      </c>
      <c r="J44" s="399">
        <v>1</v>
      </c>
      <c r="K44" s="399">
        <v>2</v>
      </c>
      <c r="L44" s="399">
        <v>2</v>
      </c>
      <c r="M44" s="399">
        <v>2</v>
      </c>
      <c r="N44" s="399">
        <v>3</v>
      </c>
      <c r="O44" s="399">
        <v>20</v>
      </c>
      <c r="P44" s="399">
        <v>81.666666666666671</v>
      </c>
      <c r="Q44" s="399">
        <v>75</v>
      </c>
      <c r="R44" s="399">
        <v>88</v>
      </c>
      <c r="S44" s="399">
        <v>98</v>
      </c>
      <c r="T44" s="390">
        <v>2.73</v>
      </c>
      <c r="U44" s="396"/>
      <c r="V44" s="26"/>
      <c r="W44" s="26"/>
      <c r="X44" s="26"/>
      <c r="Y44" s="26"/>
    </row>
    <row r="45" spans="1:25" s="27" customFormat="1">
      <c r="A45" s="383"/>
      <c r="B45" s="384" t="s">
        <v>268</v>
      </c>
      <c r="C45" s="385" t="s">
        <v>167</v>
      </c>
      <c r="D45" s="386">
        <f t="shared" ref="D45:D52" si="1">3.3/1000</f>
        <v>3.3E-3</v>
      </c>
      <c r="E45" s="379">
        <v>9</v>
      </c>
      <c r="F45" s="396"/>
      <c r="G45" s="398">
        <v>1</v>
      </c>
      <c r="H45" s="399">
        <v>1</v>
      </c>
      <c r="I45" s="399">
        <v>1</v>
      </c>
      <c r="J45" s="399">
        <v>1</v>
      </c>
      <c r="K45" s="399">
        <v>1</v>
      </c>
      <c r="L45" s="399">
        <v>2</v>
      </c>
      <c r="M45" s="399">
        <v>2</v>
      </c>
      <c r="N45" s="399">
        <v>20</v>
      </c>
      <c r="O45" s="399">
        <v>40</v>
      </c>
      <c r="P45" s="399">
        <v>60</v>
      </c>
      <c r="Q45" s="399">
        <v>90</v>
      </c>
      <c r="R45" s="399">
        <v>100</v>
      </c>
      <c r="S45" s="399" t="e">
        <v>#N/A</v>
      </c>
      <c r="T45" s="390">
        <v>2.73</v>
      </c>
      <c r="U45" s="396"/>
      <c r="V45" s="26"/>
      <c r="W45" s="26"/>
      <c r="X45" s="26"/>
      <c r="Y45" s="26"/>
    </row>
    <row r="46" spans="1:25" s="27" customFormat="1">
      <c r="A46" s="383"/>
      <c r="B46" s="384" t="s">
        <v>269</v>
      </c>
      <c r="C46" s="385" t="s">
        <v>167</v>
      </c>
      <c r="D46" s="386">
        <f t="shared" si="1"/>
        <v>3.3E-3</v>
      </c>
      <c r="E46" s="379">
        <v>9</v>
      </c>
      <c r="F46" s="396"/>
      <c r="G46" s="398">
        <v>1</v>
      </c>
      <c r="H46" s="399">
        <v>1</v>
      </c>
      <c r="I46" s="399">
        <v>1</v>
      </c>
      <c r="J46" s="399">
        <v>1</v>
      </c>
      <c r="K46" s="399">
        <v>1</v>
      </c>
      <c r="L46" s="399">
        <v>2</v>
      </c>
      <c r="M46" s="399">
        <v>4</v>
      </c>
      <c r="N46" s="399">
        <v>30</v>
      </c>
      <c r="O46" s="399">
        <v>65</v>
      </c>
      <c r="P46" s="399">
        <v>95</v>
      </c>
      <c r="Q46" s="399">
        <v>100</v>
      </c>
      <c r="R46" s="399" t="e">
        <v>#N/A</v>
      </c>
      <c r="S46" s="399" t="e">
        <v>#N/A</v>
      </c>
      <c r="T46" s="390">
        <v>2.73</v>
      </c>
      <c r="U46" s="396"/>
      <c r="V46" s="26"/>
      <c r="W46" s="26"/>
      <c r="X46" s="26"/>
      <c r="Y46" s="26"/>
    </row>
    <row r="47" spans="1:25" s="27" customFormat="1">
      <c r="A47" s="383"/>
      <c r="B47" s="384" t="s">
        <v>270</v>
      </c>
      <c r="C47" s="385" t="s">
        <v>167</v>
      </c>
      <c r="D47" s="386">
        <f t="shared" si="1"/>
        <v>3.3E-3</v>
      </c>
      <c r="E47" s="379">
        <v>9</v>
      </c>
      <c r="F47" s="396"/>
      <c r="G47" s="398">
        <v>1</v>
      </c>
      <c r="H47" s="399">
        <v>1</v>
      </c>
      <c r="I47" s="399">
        <v>1</v>
      </c>
      <c r="J47" s="399">
        <v>1</v>
      </c>
      <c r="K47" s="399">
        <v>1</v>
      </c>
      <c r="L47" s="399">
        <v>2</v>
      </c>
      <c r="M47" s="399">
        <v>30</v>
      </c>
      <c r="N47" s="399">
        <v>40</v>
      </c>
      <c r="O47" s="399">
        <v>60</v>
      </c>
      <c r="P47" s="399">
        <v>75</v>
      </c>
      <c r="Q47" s="399">
        <v>95</v>
      </c>
      <c r="R47" s="399" t="e">
        <v>#N/A</v>
      </c>
      <c r="S47" s="399" t="e">
        <v>#N/A</v>
      </c>
      <c r="T47" s="390">
        <v>2.73</v>
      </c>
      <c r="U47" s="396"/>
      <c r="V47" s="26"/>
      <c r="W47" s="26"/>
      <c r="X47" s="26"/>
      <c r="Y47" s="26"/>
    </row>
    <row r="48" spans="1:25" s="27" customFormat="1">
      <c r="A48" s="383"/>
      <c r="B48" s="384" t="s">
        <v>271</v>
      </c>
      <c r="C48" s="385" t="s">
        <v>167</v>
      </c>
      <c r="D48" s="386">
        <f t="shared" si="1"/>
        <v>3.3E-3</v>
      </c>
      <c r="E48" s="379">
        <v>9</v>
      </c>
      <c r="F48" s="396"/>
      <c r="G48" s="398">
        <v>1</v>
      </c>
      <c r="H48" s="399">
        <v>1</v>
      </c>
      <c r="I48" s="399">
        <v>1</v>
      </c>
      <c r="J48" s="399">
        <v>1</v>
      </c>
      <c r="K48" s="399">
        <v>1</v>
      </c>
      <c r="L48" s="399">
        <v>2</v>
      </c>
      <c r="M48" s="399">
        <v>30</v>
      </c>
      <c r="N48" s="399">
        <v>60</v>
      </c>
      <c r="O48" s="399">
        <v>80</v>
      </c>
      <c r="P48" s="399">
        <v>95</v>
      </c>
      <c r="Q48" s="399">
        <v>100</v>
      </c>
      <c r="R48" s="399" t="e">
        <v>#N/A</v>
      </c>
      <c r="S48" s="399" t="e">
        <v>#N/A</v>
      </c>
      <c r="T48" s="390">
        <v>2.73</v>
      </c>
      <c r="U48" s="396"/>
      <c r="V48" s="26"/>
      <c r="W48" s="26"/>
      <c r="X48" s="26"/>
      <c r="Y48" s="26"/>
    </row>
    <row r="49" spans="1:25" s="27" customFormat="1">
      <c r="A49" s="383"/>
      <c r="B49" s="384" t="s">
        <v>272</v>
      </c>
      <c r="C49" s="385" t="s">
        <v>167</v>
      </c>
      <c r="D49" s="386">
        <f t="shared" si="1"/>
        <v>3.3E-3</v>
      </c>
      <c r="E49" s="379">
        <v>9</v>
      </c>
      <c r="F49" s="396"/>
      <c r="G49" s="398">
        <v>1</v>
      </c>
      <c r="H49" s="399">
        <v>1</v>
      </c>
      <c r="I49" s="399">
        <v>1</v>
      </c>
      <c r="J49" s="399">
        <v>1</v>
      </c>
      <c r="K49" s="399">
        <v>2</v>
      </c>
      <c r="L49" s="399">
        <v>2</v>
      </c>
      <c r="M49" s="399">
        <v>30</v>
      </c>
      <c r="N49" s="399">
        <v>60</v>
      </c>
      <c r="O49" s="399">
        <v>90</v>
      </c>
      <c r="P49" s="399">
        <v>100</v>
      </c>
      <c r="Q49" s="399" t="e">
        <v>#N/A</v>
      </c>
      <c r="R49" s="399" t="e">
        <v>#N/A</v>
      </c>
      <c r="S49" s="399" t="e">
        <v>#N/A</v>
      </c>
      <c r="T49" s="390">
        <v>2.73</v>
      </c>
      <c r="U49" s="396"/>
      <c r="V49" s="26"/>
      <c r="W49" s="26"/>
      <c r="X49" s="26"/>
      <c r="Y49" s="26"/>
    </row>
    <row r="50" spans="1:25" s="27" customFormat="1">
      <c r="A50" s="383"/>
      <c r="B50" s="384" t="s">
        <v>273</v>
      </c>
      <c r="C50" s="385" t="s">
        <v>167</v>
      </c>
      <c r="D50" s="386">
        <f t="shared" si="1"/>
        <v>3.3E-3</v>
      </c>
      <c r="E50" s="379">
        <v>7</v>
      </c>
      <c r="F50" s="396"/>
      <c r="G50" s="398">
        <v>8</v>
      </c>
      <c r="H50" s="399">
        <v>20</v>
      </c>
      <c r="I50" s="399">
        <v>30</v>
      </c>
      <c r="J50" s="399">
        <v>50</v>
      </c>
      <c r="K50" s="399">
        <v>60</v>
      </c>
      <c r="L50" s="399">
        <v>70</v>
      </c>
      <c r="M50" s="399">
        <v>88</v>
      </c>
      <c r="N50" s="399">
        <v>100</v>
      </c>
      <c r="O50" s="399" t="e">
        <v>#N/A</v>
      </c>
      <c r="P50" s="399" t="e">
        <v>#N/A</v>
      </c>
      <c r="Q50" s="399" t="e">
        <v>#N/A</v>
      </c>
      <c r="R50" s="399" t="e">
        <v>#N/A</v>
      </c>
      <c r="S50" s="399" t="e">
        <v>#N/A</v>
      </c>
      <c r="T50" s="390">
        <v>2.76</v>
      </c>
      <c r="U50" s="396"/>
      <c r="V50" s="26"/>
      <c r="W50" s="26"/>
      <c r="X50" s="26"/>
      <c r="Y50" s="26"/>
    </row>
    <row r="51" spans="1:25" s="27" customFormat="1">
      <c r="A51" s="383"/>
      <c r="B51" s="384" t="s">
        <v>274</v>
      </c>
      <c r="C51" s="385" t="s">
        <v>167</v>
      </c>
      <c r="D51" s="386">
        <f t="shared" si="1"/>
        <v>3.3E-3</v>
      </c>
      <c r="E51" s="379">
        <v>8</v>
      </c>
      <c r="F51" s="381"/>
      <c r="G51" s="381"/>
      <c r="H51" s="381"/>
      <c r="I51" s="381"/>
      <c r="J51" s="381"/>
      <c r="K51" s="381"/>
      <c r="L51" s="381"/>
      <c r="M51" s="381"/>
      <c r="N51" s="381"/>
      <c r="O51" s="381"/>
      <c r="P51" s="381"/>
      <c r="Q51" s="381"/>
      <c r="R51" s="381"/>
      <c r="S51" s="381"/>
      <c r="T51" s="381"/>
      <c r="U51" s="381"/>
      <c r="V51" s="26"/>
      <c r="W51" s="26"/>
      <c r="X51" s="26"/>
      <c r="Y51" s="26"/>
    </row>
    <row r="52" spans="1:25" s="27" customFormat="1">
      <c r="A52" s="370"/>
      <c r="B52" s="384" t="s">
        <v>275</v>
      </c>
      <c r="C52" s="385" t="s">
        <v>167</v>
      </c>
      <c r="D52" s="386">
        <f t="shared" si="1"/>
        <v>3.3E-3</v>
      </c>
      <c r="E52" s="379">
        <v>6</v>
      </c>
      <c r="F52" s="372"/>
      <c r="G52" s="372"/>
      <c r="H52" s="372"/>
      <c r="I52" s="372"/>
      <c r="J52" s="372"/>
      <c r="K52" s="372"/>
      <c r="L52" s="372"/>
      <c r="M52" s="372"/>
      <c r="N52" s="372"/>
      <c r="O52" s="372"/>
      <c r="P52" s="372"/>
      <c r="Q52" s="372"/>
      <c r="R52" s="372"/>
      <c r="S52" s="372"/>
      <c r="T52" s="372"/>
      <c r="U52" s="372"/>
      <c r="V52" s="19"/>
      <c r="W52" s="19"/>
      <c r="X52" s="19"/>
      <c r="Y52" s="19"/>
    </row>
    <row r="53" spans="1:25" s="27" customFormat="1">
      <c r="A53" s="376" t="s">
        <v>276</v>
      </c>
      <c r="B53" s="376"/>
      <c r="C53" s="377"/>
      <c r="D53" s="378"/>
      <c r="E53" s="374"/>
      <c r="F53" s="372"/>
      <c r="G53" s="372"/>
      <c r="H53" s="372"/>
      <c r="I53" s="372"/>
      <c r="J53" s="372"/>
      <c r="K53" s="372"/>
      <c r="L53" s="372"/>
      <c r="M53" s="372"/>
      <c r="N53" s="372"/>
      <c r="O53" s="372"/>
      <c r="P53" s="372"/>
      <c r="Q53" s="372"/>
      <c r="R53" s="372"/>
      <c r="S53" s="372"/>
      <c r="T53" s="372"/>
      <c r="U53" s="372"/>
      <c r="V53" s="26"/>
      <c r="W53" s="26"/>
      <c r="X53" s="26"/>
      <c r="Y53" s="26"/>
    </row>
    <row r="54" spans="1:25" s="27" customFormat="1">
      <c r="A54" s="383"/>
      <c r="B54" s="384" t="s">
        <v>205</v>
      </c>
      <c r="C54" s="385" t="s">
        <v>167</v>
      </c>
      <c r="D54" s="386">
        <f>1.7/1000</f>
        <v>1.6999999999999999E-3</v>
      </c>
      <c r="E54" s="379">
        <v>3.5</v>
      </c>
      <c r="F54" s="387"/>
      <c r="G54" s="387"/>
      <c r="H54" s="387"/>
      <c r="I54" s="387"/>
      <c r="J54" s="387"/>
      <c r="K54" s="387"/>
      <c r="L54" s="387"/>
      <c r="M54" s="387"/>
      <c r="N54" s="387"/>
      <c r="O54" s="387"/>
      <c r="P54" s="387"/>
      <c r="Q54" s="387"/>
      <c r="R54" s="387"/>
      <c r="S54" s="387"/>
      <c r="T54" s="387"/>
      <c r="U54" s="387"/>
      <c r="V54" s="26"/>
      <c r="W54" s="26"/>
      <c r="X54" s="26"/>
      <c r="Y54" s="26"/>
    </row>
    <row r="55" spans="1:25" s="27" customFormat="1">
      <c r="A55" s="383"/>
      <c r="B55" s="384" t="s">
        <v>131</v>
      </c>
      <c r="C55" s="385" t="s">
        <v>167</v>
      </c>
      <c r="D55" s="386">
        <f t="shared" ref="D55:D60" si="2">1.7/1000</f>
        <v>1.6999999999999999E-3</v>
      </c>
      <c r="E55" s="379">
        <v>5</v>
      </c>
      <c r="F55" s="387"/>
      <c r="G55" s="387"/>
      <c r="H55" s="387"/>
      <c r="I55" s="387"/>
      <c r="J55" s="387"/>
      <c r="K55" s="387"/>
      <c r="L55" s="387"/>
      <c r="M55" s="387"/>
      <c r="N55" s="387"/>
      <c r="O55" s="387"/>
      <c r="P55" s="387"/>
      <c r="Q55" s="387"/>
      <c r="R55" s="387"/>
      <c r="S55" s="387"/>
      <c r="T55" s="387"/>
      <c r="U55" s="387"/>
      <c r="V55" s="26"/>
      <c r="W55" s="26"/>
      <c r="X55" s="26"/>
      <c r="Y55" s="26"/>
    </row>
    <row r="56" spans="1:25" s="27" customFormat="1" ht="14.4" thickBot="1">
      <c r="A56" s="383"/>
      <c r="B56" s="384" t="s">
        <v>129</v>
      </c>
      <c r="C56" s="385" t="s">
        <v>167</v>
      </c>
      <c r="D56" s="386">
        <f t="shared" si="2"/>
        <v>1.6999999999999999E-3</v>
      </c>
      <c r="E56" s="379">
        <v>4</v>
      </c>
      <c r="F56" s="387"/>
      <c r="G56" s="387"/>
      <c r="H56" s="387"/>
      <c r="I56" s="387"/>
      <c r="J56" s="387"/>
      <c r="K56" s="387"/>
      <c r="L56" s="387"/>
      <c r="M56" s="387"/>
      <c r="N56" s="387"/>
      <c r="O56" s="387"/>
      <c r="P56" s="387"/>
      <c r="Q56" s="387"/>
      <c r="R56" s="387"/>
      <c r="S56" s="387"/>
      <c r="T56" s="387"/>
      <c r="U56" s="387"/>
    </row>
    <row r="57" spans="1:25" s="27" customFormat="1">
      <c r="A57" s="383"/>
      <c r="B57" s="384" t="s">
        <v>130</v>
      </c>
      <c r="C57" s="385" t="s">
        <v>167</v>
      </c>
      <c r="D57" s="386">
        <f t="shared" si="2"/>
        <v>1.6999999999999999E-3</v>
      </c>
      <c r="E57" s="379">
        <v>5</v>
      </c>
      <c r="F57" s="387"/>
      <c r="G57" s="394">
        <v>2</v>
      </c>
      <c r="H57" s="395">
        <v>20</v>
      </c>
      <c r="I57" s="395">
        <v>60</v>
      </c>
      <c r="J57" s="395">
        <v>80</v>
      </c>
      <c r="K57" s="395">
        <v>90</v>
      </c>
      <c r="L57" s="395">
        <v>100</v>
      </c>
      <c r="M57" s="395" t="e">
        <v>#N/A</v>
      </c>
      <c r="N57" s="395" t="e">
        <v>#N/A</v>
      </c>
      <c r="O57" s="395" t="e">
        <v>#N/A</v>
      </c>
      <c r="P57" s="395" t="e">
        <v>#N/A</v>
      </c>
      <c r="Q57" s="395" t="e">
        <v>#N/A</v>
      </c>
      <c r="R57" s="395" t="e">
        <v>#N/A</v>
      </c>
      <c r="S57" s="400" t="e">
        <v>#N/A</v>
      </c>
      <c r="T57" s="390">
        <v>2.66</v>
      </c>
      <c r="U57" s="387"/>
      <c r="V57" s="26"/>
      <c r="W57" s="26"/>
      <c r="X57" s="26"/>
      <c r="Y57" s="26"/>
    </row>
    <row r="58" spans="1:25" s="27" customFormat="1">
      <c r="A58" s="383"/>
      <c r="B58" s="384" t="s">
        <v>128</v>
      </c>
      <c r="C58" s="385" t="s">
        <v>167</v>
      </c>
      <c r="D58" s="386">
        <f t="shared" si="2"/>
        <v>1.6999999999999999E-3</v>
      </c>
      <c r="E58" s="379">
        <v>4.5</v>
      </c>
      <c r="F58" s="387"/>
      <c r="G58" s="387"/>
      <c r="H58" s="387"/>
      <c r="I58" s="387"/>
      <c r="J58" s="387"/>
      <c r="K58" s="387"/>
      <c r="L58" s="387"/>
      <c r="M58" s="387"/>
      <c r="N58" s="387"/>
      <c r="O58" s="387"/>
      <c r="P58" s="387"/>
      <c r="Q58" s="387"/>
      <c r="R58" s="387"/>
      <c r="S58" s="387"/>
      <c r="T58" s="387"/>
      <c r="U58" s="387"/>
      <c r="V58" s="26"/>
      <c r="W58" s="26"/>
      <c r="X58" s="26"/>
      <c r="Y58" s="26"/>
    </row>
    <row r="59" spans="1:25" s="27" customFormat="1">
      <c r="A59" s="401"/>
      <c r="B59" s="384" t="s">
        <v>277</v>
      </c>
      <c r="C59" s="385" t="s">
        <v>167</v>
      </c>
      <c r="D59" s="386">
        <f t="shared" si="2"/>
        <v>1.6999999999999999E-3</v>
      </c>
      <c r="E59" s="379">
        <v>4.0999999999999996</v>
      </c>
      <c r="F59" s="26"/>
      <c r="G59" s="387"/>
      <c r="H59" s="387"/>
      <c r="I59" s="387"/>
      <c r="J59" s="387"/>
      <c r="K59" s="387"/>
      <c r="L59" s="387"/>
      <c r="M59" s="387"/>
      <c r="N59" s="387"/>
      <c r="O59" s="387"/>
      <c r="P59" s="387"/>
      <c r="Q59" s="387"/>
      <c r="R59" s="387"/>
      <c r="S59" s="387"/>
      <c r="T59" s="390">
        <v>1.76</v>
      </c>
      <c r="U59" s="387"/>
      <c r="V59" s="26"/>
      <c r="W59" s="26"/>
      <c r="X59" s="26"/>
      <c r="Y59" s="26"/>
    </row>
    <row r="60" spans="1:25" s="27" customFormat="1">
      <c r="A60" s="401"/>
      <c r="B60" s="384" t="s">
        <v>278</v>
      </c>
      <c r="C60" s="385" t="s">
        <v>167</v>
      </c>
      <c r="D60" s="386">
        <f t="shared" si="2"/>
        <v>1.6999999999999999E-3</v>
      </c>
      <c r="E60" s="379">
        <v>5</v>
      </c>
      <c r="F60" s="19"/>
      <c r="G60" s="387"/>
      <c r="H60" s="387"/>
      <c r="I60" s="387"/>
      <c r="J60" s="387"/>
      <c r="K60" s="387"/>
      <c r="L60" s="387"/>
      <c r="M60" s="387"/>
      <c r="N60" s="387"/>
      <c r="O60" s="387"/>
      <c r="P60" s="387"/>
      <c r="Q60" s="387"/>
      <c r="R60" s="387"/>
      <c r="S60" s="387"/>
      <c r="T60" s="390">
        <v>1.72</v>
      </c>
      <c r="U60" s="387"/>
      <c r="V60" s="19"/>
      <c r="W60" s="19"/>
      <c r="X60" s="19"/>
      <c r="Y60" s="19"/>
    </row>
    <row r="61" spans="1:25" s="27" customFormat="1">
      <c r="A61" s="401"/>
      <c r="B61" s="384" t="s">
        <v>279</v>
      </c>
      <c r="C61" s="385" t="s">
        <v>167</v>
      </c>
      <c r="D61" s="386">
        <f>2.5/1000</f>
        <v>2.5000000000000001E-3</v>
      </c>
      <c r="E61" s="379">
        <v>5.2</v>
      </c>
      <c r="F61" s="19"/>
      <c r="G61" s="387"/>
      <c r="H61" s="387"/>
      <c r="I61" s="387"/>
      <c r="J61" s="387"/>
      <c r="K61" s="387"/>
      <c r="L61" s="387"/>
      <c r="M61" s="387"/>
      <c r="N61" s="387"/>
      <c r="O61" s="387"/>
      <c r="P61" s="387"/>
      <c r="Q61" s="387"/>
      <c r="R61" s="387"/>
      <c r="S61" s="387"/>
      <c r="T61" s="390">
        <v>1.92</v>
      </c>
      <c r="U61" s="387"/>
      <c r="V61" s="19"/>
      <c r="W61" s="19"/>
      <c r="X61" s="19"/>
      <c r="Y61" s="19"/>
    </row>
    <row r="62" spans="1:25" s="27" customFormat="1">
      <c r="A62" s="401"/>
      <c r="B62" s="384" t="s">
        <v>280</v>
      </c>
      <c r="C62" s="385" t="s">
        <v>167</v>
      </c>
      <c r="D62" s="386">
        <f>2.5/1000</f>
        <v>2.5000000000000001E-3</v>
      </c>
      <c r="E62" s="379">
        <v>4.8</v>
      </c>
      <c r="F62" s="26"/>
      <c r="G62" s="387"/>
      <c r="H62" s="387"/>
      <c r="I62" s="387"/>
      <c r="J62" s="387"/>
      <c r="K62" s="387"/>
      <c r="L62" s="387"/>
      <c r="M62" s="387"/>
      <c r="N62" s="387"/>
      <c r="O62" s="387"/>
      <c r="P62" s="387"/>
      <c r="Q62" s="387"/>
      <c r="R62" s="387"/>
      <c r="S62" s="387"/>
      <c r="T62" s="390">
        <v>1.89</v>
      </c>
      <c r="U62" s="387"/>
      <c r="V62" s="26"/>
      <c r="W62" s="26"/>
      <c r="X62" s="26"/>
      <c r="Y62" s="26"/>
    </row>
    <row r="63" spans="1:25" s="27" customFormat="1">
      <c r="A63" s="401"/>
      <c r="B63" s="384" t="s">
        <v>281</v>
      </c>
      <c r="C63" s="385" t="s">
        <v>167</v>
      </c>
      <c r="D63" s="386">
        <f t="shared" ref="D63:D64" si="3">2.5/1000</f>
        <v>2.5000000000000001E-3</v>
      </c>
      <c r="E63" s="379">
        <v>5.2</v>
      </c>
      <c r="F63" s="26"/>
      <c r="G63" s="387"/>
      <c r="H63" s="387"/>
      <c r="I63" s="387"/>
      <c r="J63" s="387"/>
      <c r="K63" s="387"/>
      <c r="L63" s="387"/>
      <c r="M63" s="387"/>
      <c r="N63" s="387"/>
      <c r="O63" s="387"/>
      <c r="P63" s="387"/>
      <c r="Q63" s="387"/>
      <c r="R63" s="387"/>
      <c r="S63" s="387"/>
      <c r="T63" s="390">
        <v>1.96</v>
      </c>
      <c r="U63" s="387"/>
      <c r="V63" s="26"/>
      <c r="W63" s="26"/>
      <c r="X63" s="26"/>
      <c r="Y63" s="26"/>
    </row>
    <row r="64" spans="1:25" s="27" customFormat="1">
      <c r="A64" s="401"/>
      <c r="B64" s="384" t="s">
        <v>282</v>
      </c>
      <c r="C64" s="385" t="s">
        <v>167</v>
      </c>
      <c r="D64" s="386">
        <f t="shared" si="3"/>
        <v>2.5000000000000001E-3</v>
      </c>
      <c r="E64" s="379">
        <v>5</v>
      </c>
      <c r="F64" s="26"/>
      <c r="G64" s="387"/>
      <c r="H64" s="387"/>
      <c r="I64" s="387"/>
      <c r="J64" s="387"/>
      <c r="K64" s="387"/>
      <c r="L64" s="387"/>
      <c r="M64" s="387"/>
      <c r="N64" s="387"/>
      <c r="O64" s="387"/>
      <c r="P64" s="387"/>
      <c r="Q64" s="387"/>
      <c r="R64" s="387"/>
      <c r="S64" s="387"/>
      <c r="T64" s="390">
        <v>1.92</v>
      </c>
      <c r="U64" s="387"/>
      <c r="V64" s="26"/>
      <c r="W64" s="26"/>
      <c r="X64" s="26"/>
      <c r="Y64" s="26"/>
    </row>
    <row r="65" spans="1:25" s="27" customFormat="1">
      <c r="A65" s="383"/>
      <c r="B65" s="384" t="s">
        <v>283</v>
      </c>
      <c r="C65" s="385" t="s">
        <v>167</v>
      </c>
      <c r="D65" s="386">
        <v>2.0000000000000001E-4</v>
      </c>
      <c r="E65" s="379">
        <v>1</v>
      </c>
      <c r="F65" s="381"/>
      <c r="G65" s="387"/>
      <c r="H65" s="381"/>
      <c r="I65" s="381"/>
      <c r="J65" s="381"/>
      <c r="K65" s="381"/>
      <c r="L65" s="381"/>
      <c r="M65" s="381"/>
      <c r="N65" s="381"/>
      <c r="O65" s="381"/>
      <c r="P65" s="381"/>
      <c r="Q65" s="381"/>
      <c r="R65" s="381"/>
      <c r="S65" s="381"/>
      <c r="T65" s="381"/>
      <c r="U65" s="381"/>
      <c r="V65" s="19"/>
      <c r="W65" s="19"/>
      <c r="X65" s="19"/>
      <c r="Y65" s="19"/>
    </row>
    <row r="66" spans="1:25" s="27" customFormat="1">
      <c r="A66" s="402" t="s">
        <v>223</v>
      </c>
      <c r="B66" s="403"/>
      <c r="C66" s="403"/>
      <c r="D66" s="404"/>
      <c r="E66" s="405"/>
      <c r="F66" s="406"/>
      <c r="G66" s="396"/>
      <c r="H66" s="396"/>
      <c r="I66" s="396"/>
      <c r="J66" s="396"/>
      <c r="K66" s="396"/>
      <c r="L66" s="396"/>
      <c r="M66" s="396"/>
      <c r="N66" s="396"/>
      <c r="O66" s="396"/>
      <c r="P66" s="396"/>
      <c r="Q66" s="396"/>
      <c r="R66" s="396"/>
      <c r="S66" s="396"/>
      <c r="T66" s="396"/>
      <c r="U66" s="396"/>
      <c r="V66" s="19"/>
      <c r="W66" s="19"/>
      <c r="X66" s="19"/>
      <c r="Y66" s="19"/>
    </row>
    <row r="67" spans="1:25" s="27" customFormat="1">
      <c r="A67" s="383"/>
      <c r="B67" s="384" t="s">
        <v>224</v>
      </c>
      <c r="C67" s="385" t="s">
        <v>167</v>
      </c>
      <c r="D67" s="386">
        <v>0</v>
      </c>
      <c r="E67" s="379">
        <v>4</v>
      </c>
      <c r="F67" s="396"/>
      <c r="G67" s="396"/>
      <c r="H67" s="396"/>
      <c r="I67" s="396"/>
      <c r="J67" s="396"/>
      <c r="K67" s="396"/>
      <c r="L67" s="396"/>
      <c r="M67" s="396"/>
      <c r="N67" s="396"/>
      <c r="O67" s="396"/>
      <c r="P67" s="396"/>
      <c r="Q67" s="396"/>
      <c r="R67" s="396"/>
      <c r="S67" s="396"/>
      <c r="T67" s="396"/>
      <c r="U67" s="396"/>
      <c r="V67" s="26"/>
      <c r="W67" s="26"/>
      <c r="X67" s="26"/>
      <c r="Y67" s="26"/>
    </row>
    <row r="68" spans="1:25" s="27" customFormat="1">
      <c r="A68" s="383"/>
      <c r="B68" s="384" t="s">
        <v>225</v>
      </c>
      <c r="C68" s="385" t="s">
        <v>167</v>
      </c>
      <c r="D68" s="386">
        <v>1E-4</v>
      </c>
      <c r="E68" s="379">
        <v>3</v>
      </c>
      <c r="F68" s="396"/>
      <c r="G68" s="396"/>
      <c r="H68" s="396"/>
      <c r="I68" s="396"/>
      <c r="J68" s="396"/>
      <c r="K68" s="396"/>
      <c r="L68" s="396"/>
      <c r="M68" s="396"/>
      <c r="N68" s="396"/>
      <c r="O68" s="396"/>
      <c r="P68" s="396"/>
      <c r="Q68" s="396"/>
      <c r="R68" s="396"/>
      <c r="S68" s="396"/>
      <c r="T68" s="396"/>
      <c r="U68" s="396" t="s">
        <v>284</v>
      </c>
      <c r="V68" s="26"/>
      <c r="W68" s="26"/>
      <c r="X68" s="26"/>
      <c r="Y68" s="26"/>
    </row>
    <row r="69" spans="1:25" s="27" customFormat="1">
      <c r="A69" s="383"/>
      <c r="B69" s="384" t="s">
        <v>285</v>
      </c>
      <c r="C69" s="385" t="s">
        <v>167</v>
      </c>
      <c r="D69" s="386">
        <f>7.4/1000</f>
        <v>7.4000000000000003E-3</v>
      </c>
      <c r="E69" s="379">
        <v>40</v>
      </c>
      <c r="F69" s="396">
        <v>100</v>
      </c>
      <c r="G69" s="398">
        <v>82.8</v>
      </c>
      <c r="H69" s="399">
        <v>97</v>
      </c>
      <c r="I69" s="399">
        <v>99</v>
      </c>
      <c r="J69" s="399">
        <v>100</v>
      </c>
      <c r="K69" s="399" t="e">
        <v>#N/A</v>
      </c>
      <c r="L69" s="399" t="e">
        <v>#N/A</v>
      </c>
      <c r="M69" s="399" t="e">
        <v>#N/A</v>
      </c>
      <c r="N69" s="399" t="e">
        <v>#N/A</v>
      </c>
      <c r="O69" s="399" t="e">
        <v>#N/A</v>
      </c>
      <c r="P69" s="399" t="e">
        <v>#N/A</v>
      </c>
      <c r="Q69" s="399" t="e">
        <v>#N/A</v>
      </c>
      <c r="R69" s="399" t="e">
        <v>#N/A</v>
      </c>
      <c r="S69" s="399" t="e">
        <v>#N/A</v>
      </c>
      <c r="T69" s="390">
        <v>2.7</v>
      </c>
      <c r="U69" s="396"/>
      <c r="V69" s="26"/>
      <c r="W69" s="26"/>
      <c r="X69" s="26"/>
      <c r="Y69" s="26"/>
    </row>
    <row r="70" spans="1:25" s="27" customFormat="1">
      <c r="A70" s="383"/>
      <c r="B70" s="384" t="s">
        <v>286</v>
      </c>
      <c r="C70" s="385" t="s">
        <v>167</v>
      </c>
      <c r="D70" s="386">
        <v>2.3999999999999998E-3</v>
      </c>
      <c r="E70" s="379">
        <v>7</v>
      </c>
      <c r="F70" s="396"/>
      <c r="G70" s="398">
        <v>10.333333333333334</v>
      </c>
      <c r="H70" s="399">
        <v>12.333333333333334</v>
      </c>
      <c r="I70" s="399">
        <v>15.666666666666666</v>
      </c>
      <c r="J70" s="399">
        <v>21.666666666666668</v>
      </c>
      <c r="K70" s="399">
        <v>27.666666666666668</v>
      </c>
      <c r="L70" s="399">
        <v>34.666666666666664</v>
      </c>
      <c r="M70" s="399">
        <v>44.333333333333336</v>
      </c>
      <c r="N70" s="399">
        <v>59.333333333333336</v>
      </c>
      <c r="O70" s="399">
        <v>72.666666666666671</v>
      </c>
      <c r="P70" s="399">
        <v>81.666666666666671</v>
      </c>
      <c r="Q70" s="399">
        <v>100</v>
      </c>
      <c r="R70" s="399" t="e">
        <v>#N/A</v>
      </c>
      <c r="S70" s="399" t="e">
        <v>#N/A</v>
      </c>
      <c r="T70" s="390">
        <v>2.71</v>
      </c>
      <c r="U70" s="407">
        <v>3.5</v>
      </c>
      <c r="V70" s="26"/>
      <c r="W70" s="26"/>
      <c r="X70" s="26"/>
      <c r="Y70" s="26"/>
    </row>
    <row r="71" spans="1:25" s="27" customFormat="1">
      <c r="A71" s="383"/>
      <c r="B71" s="384" t="s">
        <v>287</v>
      </c>
      <c r="C71" s="385" t="s">
        <v>167</v>
      </c>
      <c r="D71" s="386">
        <v>2.3999999999999998E-3</v>
      </c>
      <c r="E71" s="379">
        <v>7</v>
      </c>
      <c r="F71" s="396"/>
      <c r="G71" s="398">
        <v>10.333333333333334</v>
      </c>
      <c r="H71" s="399">
        <v>11</v>
      </c>
      <c r="I71" s="399">
        <v>15</v>
      </c>
      <c r="J71" s="399">
        <v>20</v>
      </c>
      <c r="K71" s="399">
        <v>30</v>
      </c>
      <c r="L71" s="399">
        <v>40</v>
      </c>
      <c r="M71" s="399">
        <v>50</v>
      </c>
      <c r="N71" s="399">
        <v>70</v>
      </c>
      <c r="O71" s="399">
        <v>95</v>
      </c>
      <c r="P71" s="399">
        <v>100</v>
      </c>
      <c r="Q71" s="399" t="e">
        <v>#N/A</v>
      </c>
      <c r="R71" s="399" t="e">
        <v>#N/A</v>
      </c>
      <c r="S71" s="399" t="e">
        <v>#N/A</v>
      </c>
      <c r="T71" s="390">
        <v>2.71</v>
      </c>
      <c r="U71" s="407">
        <v>3.8</v>
      </c>
      <c r="V71" s="26"/>
      <c r="W71" s="26"/>
      <c r="X71" s="26"/>
      <c r="Y71" s="26"/>
    </row>
    <row r="72" spans="1:25" s="27" customFormat="1">
      <c r="A72" s="383"/>
      <c r="B72" s="384" t="s">
        <v>226</v>
      </c>
      <c r="C72" s="385" t="s">
        <v>167</v>
      </c>
      <c r="D72" s="386">
        <v>0</v>
      </c>
      <c r="E72" s="379">
        <v>9</v>
      </c>
      <c r="F72" s="396"/>
      <c r="G72" s="396"/>
      <c r="H72" s="396"/>
      <c r="I72" s="396"/>
      <c r="J72" s="396"/>
      <c r="K72" s="396"/>
      <c r="L72" s="396"/>
      <c r="M72" s="396"/>
      <c r="N72" s="396"/>
      <c r="O72" s="396"/>
      <c r="P72" s="396"/>
      <c r="Q72" s="396"/>
      <c r="R72" s="396"/>
      <c r="S72" s="396"/>
      <c r="T72" s="396"/>
      <c r="U72" s="396"/>
      <c r="V72" s="22"/>
      <c r="W72" s="22"/>
      <c r="X72" s="22"/>
      <c r="Y72" s="22"/>
    </row>
    <row r="73" spans="1:25" s="27" customFormat="1">
      <c r="A73" s="383"/>
      <c r="B73" s="384" t="s">
        <v>288</v>
      </c>
      <c r="C73" s="385" t="s">
        <v>167</v>
      </c>
      <c r="D73" s="386">
        <v>5.0000000000000001E-4</v>
      </c>
      <c r="E73" s="379">
        <v>9</v>
      </c>
      <c r="F73" s="396"/>
      <c r="G73" s="396"/>
      <c r="H73" s="396"/>
      <c r="I73" s="396"/>
      <c r="J73" s="396"/>
      <c r="K73" s="396"/>
      <c r="L73" s="396"/>
      <c r="M73" s="396"/>
      <c r="N73" s="396"/>
      <c r="O73" s="396"/>
      <c r="P73" s="396"/>
      <c r="Q73" s="396"/>
      <c r="R73" s="396"/>
      <c r="S73" s="396"/>
      <c r="T73" s="396"/>
      <c r="U73" s="396"/>
      <c r="V73" s="22"/>
      <c r="W73" s="22"/>
      <c r="X73" s="22"/>
      <c r="Y73" s="22"/>
    </row>
    <row r="74" spans="1:25" s="27" customFormat="1">
      <c r="A74" s="383"/>
      <c r="B74" s="384" t="s">
        <v>227</v>
      </c>
      <c r="C74" s="385" t="s">
        <v>167</v>
      </c>
      <c r="D74" s="386">
        <v>1.8E-3</v>
      </c>
      <c r="E74" s="379">
        <v>9</v>
      </c>
      <c r="F74" s="396"/>
      <c r="G74" s="396"/>
      <c r="H74" s="396"/>
      <c r="I74" s="396"/>
      <c r="J74" s="396"/>
      <c r="K74" s="396"/>
      <c r="L74" s="396"/>
      <c r="M74" s="396"/>
      <c r="N74" s="396"/>
      <c r="O74" s="396"/>
      <c r="P74" s="396"/>
      <c r="Q74" s="396"/>
      <c r="R74" s="396"/>
      <c r="S74" s="396"/>
      <c r="T74" s="396"/>
      <c r="U74" s="396"/>
      <c r="V74" s="22"/>
      <c r="W74" s="22"/>
      <c r="X74" s="22"/>
      <c r="Y74" s="22"/>
    </row>
    <row r="75" spans="1:25" s="27" customFormat="1">
      <c r="A75" s="383"/>
      <c r="B75" s="384" t="s">
        <v>289</v>
      </c>
      <c r="C75" s="385" t="s">
        <v>167</v>
      </c>
      <c r="D75" s="386">
        <v>0</v>
      </c>
      <c r="E75" s="379">
        <v>5</v>
      </c>
      <c r="F75" s="396"/>
      <c r="G75" s="396"/>
      <c r="H75" s="396"/>
      <c r="I75" s="396"/>
      <c r="J75" s="396"/>
      <c r="K75" s="396"/>
      <c r="L75" s="396"/>
      <c r="M75" s="396"/>
      <c r="N75" s="396"/>
      <c r="O75" s="396"/>
      <c r="P75" s="396"/>
      <c r="Q75" s="396"/>
      <c r="R75" s="396"/>
      <c r="S75" s="396"/>
      <c r="T75" s="396"/>
      <c r="U75" s="396"/>
      <c r="V75" s="22"/>
      <c r="W75" s="22"/>
      <c r="X75" s="22"/>
      <c r="Y75" s="22"/>
    </row>
    <row r="76" spans="1:25" s="27" customFormat="1">
      <c r="A76" s="375" t="s">
        <v>317</v>
      </c>
      <c r="B76" s="408"/>
      <c r="C76" s="408"/>
      <c r="D76" s="409"/>
      <c r="E76" s="408"/>
      <c r="F76" s="410"/>
      <c r="G76" s="396"/>
      <c r="H76" s="396"/>
      <c r="I76" s="396"/>
      <c r="J76" s="396"/>
      <c r="K76" s="396"/>
      <c r="L76" s="396"/>
      <c r="M76" s="396"/>
      <c r="N76" s="396"/>
      <c r="O76" s="396"/>
      <c r="P76" s="396"/>
      <c r="Q76" s="396"/>
      <c r="R76" s="396"/>
      <c r="S76" s="396"/>
      <c r="T76" s="396"/>
      <c r="U76" s="396"/>
      <c r="V76" s="22"/>
      <c r="W76" s="22"/>
      <c r="X76" s="22"/>
      <c r="Y76" s="22"/>
    </row>
    <row r="77" spans="1:25" s="27" customFormat="1">
      <c r="A77" s="383"/>
      <c r="B77" s="384" t="s">
        <v>290</v>
      </c>
      <c r="C77" s="385" t="s">
        <v>167</v>
      </c>
      <c r="D77" s="385">
        <v>0.72099999999999997</v>
      </c>
      <c r="E77" s="379">
        <v>130</v>
      </c>
      <c r="F77" s="411"/>
      <c r="G77" s="396"/>
      <c r="H77" s="396"/>
      <c r="I77" s="396"/>
      <c r="J77" s="396"/>
      <c r="K77" s="396"/>
      <c r="L77" s="396"/>
      <c r="M77" s="396"/>
      <c r="N77" s="396"/>
      <c r="O77" s="396"/>
      <c r="P77" s="396"/>
      <c r="Q77" s="396"/>
      <c r="R77" s="396"/>
      <c r="S77" s="396"/>
      <c r="T77" s="396"/>
      <c r="U77" s="396"/>
      <c r="V77" s="22"/>
      <c r="W77" s="22"/>
      <c r="X77" s="22"/>
      <c r="Y77" s="22"/>
    </row>
    <row r="78" spans="1:25" s="27" customFormat="1">
      <c r="A78" s="383"/>
      <c r="B78" s="384" t="s">
        <v>291</v>
      </c>
      <c r="C78" s="385" t="s">
        <v>167</v>
      </c>
      <c r="D78" s="385">
        <v>0.81699999999999995</v>
      </c>
      <c r="E78" s="379">
        <v>160</v>
      </c>
      <c r="F78" s="411"/>
      <c r="G78" s="396"/>
      <c r="H78" s="396"/>
      <c r="I78" s="396"/>
      <c r="J78" s="396"/>
      <c r="K78" s="396"/>
      <c r="L78" s="396"/>
      <c r="M78" s="396"/>
      <c r="N78" s="396"/>
      <c r="O78" s="396"/>
      <c r="P78" s="396"/>
      <c r="Q78" s="396"/>
      <c r="R78" s="396"/>
      <c r="S78" s="396"/>
      <c r="T78" s="396"/>
      <c r="U78" s="396"/>
      <c r="V78" s="22"/>
      <c r="W78" s="22"/>
      <c r="X78" s="22"/>
      <c r="Y78" s="22"/>
    </row>
    <row r="79" spans="1:25" s="27" customFormat="1">
      <c r="A79" s="383"/>
      <c r="B79" s="384" t="s">
        <v>292</v>
      </c>
      <c r="C79" s="385" t="s">
        <v>167</v>
      </c>
      <c r="D79" s="385">
        <v>0.70499999999999996</v>
      </c>
      <c r="E79" s="379">
        <v>110</v>
      </c>
      <c r="F79" s="411"/>
      <c r="G79" s="396"/>
      <c r="H79" s="396"/>
      <c r="I79" s="396"/>
      <c r="J79" s="396"/>
      <c r="K79" s="396"/>
      <c r="L79" s="396"/>
      <c r="M79" s="396"/>
      <c r="N79" s="396"/>
      <c r="O79" s="396"/>
      <c r="P79" s="396"/>
      <c r="Q79" s="396"/>
      <c r="R79" s="396"/>
      <c r="S79" s="396"/>
      <c r="T79" s="396"/>
      <c r="U79" s="396"/>
      <c r="V79" s="22"/>
      <c r="W79" s="22"/>
      <c r="X79" s="22"/>
      <c r="Y79" s="22"/>
    </row>
    <row r="80" spans="1:25" s="27" customFormat="1">
      <c r="A80" s="401"/>
      <c r="B80" s="384" t="s">
        <v>293</v>
      </c>
      <c r="C80" s="385" t="s">
        <v>167</v>
      </c>
      <c r="D80" s="385">
        <v>0.44600000000000001</v>
      </c>
      <c r="E80" s="379">
        <v>110</v>
      </c>
      <c r="F80" s="411"/>
      <c r="G80" s="396"/>
      <c r="H80" s="396"/>
      <c r="I80" s="396"/>
      <c r="J80" s="396"/>
      <c r="K80" s="396"/>
      <c r="L80" s="396"/>
      <c r="M80" s="396"/>
      <c r="N80" s="396"/>
      <c r="O80" s="396"/>
      <c r="P80" s="396"/>
      <c r="Q80" s="396"/>
      <c r="R80" s="396"/>
      <c r="S80" s="396"/>
      <c r="T80" s="396"/>
      <c r="U80" s="396"/>
      <c r="V80" s="22"/>
      <c r="W80" s="22"/>
      <c r="X80" s="22"/>
      <c r="Y80" s="22"/>
    </row>
    <row r="81" spans="1:25" s="27" customFormat="1">
      <c r="A81" s="401"/>
      <c r="B81" s="384" t="s">
        <v>285</v>
      </c>
      <c r="C81" s="385" t="s">
        <v>167</v>
      </c>
      <c r="D81" s="412">
        <f>7.4/1000</f>
        <v>7.4000000000000003E-3</v>
      </c>
      <c r="E81" s="379">
        <v>50</v>
      </c>
      <c r="F81" s="411"/>
      <c r="G81" s="396"/>
      <c r="H81" s="396"/>
      <c r="I81" s="396"/>
      <c r="J81" s="396"/>
      <c r="K81" s="396"/>
      <c r="L81" s="396"/>
      <c r="M81" s="396"/>
      <c r="N81" s="396"/>
      <c r="O81" s="396"/>
      <c r="P81" s="396"/>
      <c r="Q81" s="396"/>
      <c r="R81" s="396"/>
      <c r="S81" s="396"/>
      <c r="T81" s="396"/>
      <c r="U81" s="396"/>
      <c r="V81" s="22"/>
      <c r="W81" s="22"/>
      <c r="X81" s="22"/>
      <c r="Y81" s="22"/>
    </row>
    <row r="82" spans="1:25" s="27" customFormat="1">
      <c r="A82" s="401"/>
      <c r="B82" s="384" t="s">
        <v>294</v>
      </c>
      <c r="C82" s="385" t="s">
        <v>167</v>
      </c>
      <c r="D82" s="412">
        <f>530/1000</f>
        <v>0.53</v>
      </c>
      <c r="E82" s="379">
        <v>428</v>
      </c>
      <c r="F82" s="411"/>
      <c r="G82" s="396"/>
      <c r="H82" s="396"/>
      <c r="I82" s="396"/>
      <c r="J82" s="396"/>
      <c r="K82" s="396"/>
      <c r="L82" s="396"/>
      <c r="M82" s="396"/>
      <c r="N82" s="396"/>
      <c r="O82" s="396"/>
      <c r="P82" s="396"/>
      <c r="Q82" s="396"/>
      <c r="R82" s="396"/>
      <c r="S82" s="396"/>
      <c r="T82" s="390">
        <v>1.03</v>
      </c>
      <c r="U82" s="396"/>
      <c r="V82" s="22"/>
      <c r="W82" s="22"/>
      <c r="X82" s="22"/>
      <c r="Y82" s="22"/>
    </row>
    <row r="83" spans="1:25" s="27" customFormat="1">
      <c r="A83" s="401"/>
      <c r="B83" s="384" t="s">
        <v>295</v>
      </c>
      <c r="C83" s="385" t="s">
        <v>167</v>
      </c>
      <c r="D83" s="412">
        <f t="shared" ref="D83:D84" si="4">530/1000</f>
        <v>0.53</v>
      </c>
      <c r="E83" s="379">
        <v>428</v>
      </c>
      <c r="F83" s="411"/>
      <c r="G83" s="396"/>
      <c r="H83" s="396"/>
      <c r="I83" s="396"/>
      <c r="J83" s="396"/>
      <c r="K83" s="396"/>
      <c r="L83" s="396"/>
      <c r="M83" s="396"/>
      <c r="N83" s="396"/>
      <c r="O83" s="396"/>
      <c r="P83" s="396"/>
      <c r="Q83" s="396"/>
      <c r="R83" s="396"/>
      <c r="S83" s="396"/>
      <c r="T83" s="390">
        <v>1.03</v>
      </c>
      <c r="U83" s="396"/>
      <c r="V83" s="26"/>
      <c r="W83" s="26"/>
      <c r="X83" s="26"/>
      <c r="Y83" s="26"/>
    </row>
    <row r="84" spans="1:25" s="27" customFormat="1">
      <c r="A84" s="401"/>
      <c r="B84" s="384" t="s">
        <v>296</v>
      </c>
      <c r="C84" s="385" t="s">
        <v>167</v>
      </c>
      <c r="D84" s="412">
        <f t="shared" si="4"/>
        <v>0.53</v>
      </c>
      <c r="E84" s="379">
        <v>428</v>
      </c>
      <c r="F84" s="411"/>
      <c r="G84" s="396"/>
      <c r="H84" s="396"/>
      <c r="I84" s="396"/>
      <c r="J84" s="396"/>
      <c r="K84" s="396"/>
      <c r="L84" s="396"/>
      <c r="M84" s="396"/>
      <c r="N84" s="396"/>
      <c r="O84" s="396"/>
      <c r="P84" s="396"/>
      <c r="Q84" s="396"/>
      <c r="R84" s="396"/>
      <c r="S84" s="396"/>
      <c r="T84" s="390">
        <v>1.03</v>
      </c>
      <c r="U84" s="396"/>
      <c r="V84" s="22"/>
      <c r="W84" s="22"/>
      <c r="X84" s="22"/>
      <c r="Y84" s="22"/>
    </row>
    <row r="85" spans="1:25" s="27" customFormat="1">
      <c r="A85" s="383"/>
      <c r="B85" s="384" t="s">
        <v>297</v>
      </c>
      <c r="C85" s="385" t="s">
        <v>167</v>
      </c>
      <c r="D85" s="412">
        <f>610/1000</f>
        <v>0.61</v>
      </c>
      <c r="E85" s="379">
        <v>528</v>
      </c>
      <c r="F85" s="411"/>
      <c r="G85" s="396"/>
      <c r="H85" s="396"/>
      <c r="I85" s="396"/>
      <c r="J85" s="396"/>
      <c r="K85" s="396"/>
      <c r="L85" s="396"/>
      <c r="M85" s="396"/>
      <c r="N85" s="396"/>
      <c r="O85" s="396"/>
      <c r="P85" s="396"/>
      <c r="Q85" s="396"/>
      <c r="R85" s="396"/>
      <c r="S85" s="396"/>
      <c r="T85" s="390">
        <v>1.03</v>
      </c>
      <c r="U85" s="396"/>
      <c r="V85" s="22"/>
      <c r="W85" s="22"/>
      <c r="X85" s="22"/>
      <c r="Y85" s="22"/>
    </row>
    <row r="86" spans="1:25" s="27" customFormat="1">
      <c r="A86" s="383"/>
      <c r="B86" s="384" t="s">
        <v>298</v>
      </c>
      <c r="C86" s="385" t="s">
        <v>167</v>
      </c>
      <c r="D86" s="386">
        <v>0.34449999999999997</v>
      </c>
      <c r="E86" s="379">
        <v>350</v>
      </c>
      <c r="F86" s="411"/>
      <c r="G86" s="396"/>
      <c r="H86" s="396"/>
      <c r="I86" s="396"/>
      <c r="J86" s="396"/>
      <c r="K86" s="396"/>
      <c r="L86" s="396"/>
      <c r="M86" s="396"/>
      <c r="N86" s="396"/>
      <c r="O86" s="396"/>
      <c r="P86" s="396"/>
      <c r="Q86" s="396"/>
      <c r="R86" s="396"/>
      <c r="S86" s="396"/>
      <c r="T86" s="396"/>
      <c r="U86" s="396"/>
    </row>
    <row r="87" spans="1:25" s="27" customFormat="1">
      <c r="A87" s="383"/>
      <c r="B87" s="384"/>
      <c r="C87" s="385"/>
      <c r="D87" s="386"/>
      <c r="E87" s="379"/>
      <c r="F87" s="411"/>
      <c r="G87" s="396"/>
      <c r="H87" s="396"/>
      <c r="I87" s="396"/>
      <c r="J87" s="396"/>
      <c r="K87" s="396"/>
      <c r="L87" s="396"/>
      <c r="M87" s="396"/>
      <c r="N87" s="396"/>
      <c r="O87" s="396"/>
      <c r="P87" s="396"/>
      <c r="Q87" s="396"/>
      <c r="R87" s="396"/>
      <c r="S87" s="396"/>
      <c r="T87" s="396"/>
      <c r="U87" s="396"/>
    </row>
    <row r="88" spans="1:25" s="27" customFormat="1">
      <c r="A88" s="375" t="s">
        <v>143</v>
      </c>
      <c r="B88" s="408"/>
      <c r="C88" s="408"/>
      <c r="D88" s="409"/>
      <c r="E88" s="408"/>
      <c r="F88" s="410"/>
      <c r="G88" s="396"/>
      <c r="H88" s="396"/>
      <c r="I88" s="396"/>
      <c r="J88" s="396"/>
      <c r="K88" s="396"/>
      <c r="L88" s="396"/>
      <c r="M88" s="396"/>
      <c r="N88" s="396"/>
      <c r="O88" s="396"/>
      <c r="P88" s="396"/>
      <c r="Q88" s="396"/>
      <c r="R88" s="396"/>
      <c r="S88" s="396"/>
      <c r="T88" s="396"/>
      <c r="U88" s="396"/>
    </row>
    <row r="89" spans="1:25" s="27" customFormat="1">
      <c r="A89" s="383"/>
      <c r="B89" s="384" t="s">
        <v>196</v>
      </c>
      <c r="C89" s="385" t="s">
        <v>167</v>
      </c>
      <c r="D89" s="386">
        <v>18</v>
      </c>
      <c r="E89" s="379"/>
      <c r="F89" s="411"/>
      <c r="G89" s="396"/>
      <c r="H89" s="396"/>
      <c r="I89" s="396"/>
      <c r="J89" s="396"/>
      <c r="K89" s="396"/>
      <c r="L89" s="396"/>
      <c r="M89" s="396"/>
      <c r="N89" s="396"/>
      <c r="O89" s="396"/>
      <c r="P89" s="396"/>
      <c r="Q89" s="396"/>
      <c r="R89" s="396"/>
      <c r="S89" s="396"/>
      <c r="T89" s="396"/>
      <c r="U89" s="396"/>
    </row>
    <row r="90" spans="1:25" s="27" customFormat="1">
      <c r="A90" s="383"/>
      <c r="B90" s="384" t="s">
        <v>197</v>
      </c>
      <c r="C90" s="385" t="s">
        <v>167</v>
      </c>
      <c r="D90" s="386">
        <v>4.2</v>
      </c>
      <c r="E90" s="379"/>
      <c r="F90" s="411"/>
      <c r="G90" s="396"/>
      <c r="H90" s="396"/>
      <c r="I90" s="396"/>
      <c r="J90" s="396"/>
      <c r="K90" s="396"/>
      <c r="L90" s="396"/>
      <c r="M90" s="396"/>
      <c r="N90" s="396"/>
      <c r="O90" s="396"/>
      <c r="P90" s="396"/>
      <c r="Q90" s="396"/>
      <c r="R90" s="396"/>
      <c r="S90" s="396"/>
      <c r="T90" s="396"/>
      <c r="U90" s="396"/>
    </row>
    <row r="91" spans="1:25" s="27" customFormat="1">
      <c r="A91" s="383"/>
      <c r="B91" s="384" t="s">
        <v>198</v>
      </c>
      <c r="C91" s="385" t="s">
        <v>167</v>
      </c>
      <c r="D91" s="386">
        <v>3.6</v>
      </c>
      <c r="E91" s="379"/>
      <c r="F91" s="411"/>
      <c r="G91" s="396"/>
      <c r="H91" s="396"/>
      <c r="I91" s="396"/>
      <c r="J91" s="396"/>
      <c r="K91" s="396"/>
      <c r="L91" s="396"/>
      <c r="M91" s="396"/>
      <c r="N91" s="396"/>
      <c r="O91" s="396"/>
      <c r="P91" s="396"/>
      <c r="Q91" s="396"/>
      <c r="R91" s="396"/>
      <c r="S91" s="396"/>
      <c r="T91" s="396"/>
      <c r="U91" s="396"/>
    </row>
    <row r="92" spans="1:25" s="27" customFormat="1">
      <c r="A92" s="383"/>
      <c r="B92" s="384" t="s">
        <v>186</v>
      </c>
      <c r="C92" s="385" t="s">
        <v>167</v>
      </c>
      <c r="D92" s="386">
        <v>2.7</v>
      </c>
      <c r="E92" s="379"/>
      <c r="F92" s="411"/>
      <c r="G92" s="396"/>
      <c r="H92" s="396"/>
      <c r="I92" s="396"/>
      <c r="J92" s="396"/>
      <c r="K92" s="396"/>
      <c r="L92" s="396"/>
      <c r="M92" s="396"/>
      <c r="N92" s="396"/>
      <c r="O92" s="396"/>
      <c r="P92" s="396"/>
      <c r="Q92" s="396"/>
      <c r="R92" s="396"/>
      <c r="S92" s="396"/>
      <c r="T92" s="396"/>
      <c r="U92" s="396"/>
    </row>
    <row r="93" spans="1:25" s="27" customFormat="1">
      <c r="A93" s="383"/>
      <c r="B93" s="384" t="s">
        <v>185</v>
      </c>
      <c r="C93" s="385" t="s">
        <v>167</v>
      </c>
      <c r="D93" s="386">
        <v>1.7</v>
      </c>
      <c r="E93" s="379"/>
      <c r="F93" s="411"/>
      <c r="G93" s="396"/>
      <c r="H93" s="396"/>
      <c r="I93" s="396"/>
      <c r="J93" s="396"/>
      <c r="K93" s="396"/>
      <c r="L93" s="396"/>
      <c r="M93" s="396"/>
      <c r="N93" s="396"/>
      <c r="O93" s="396"/>
      <c r="P93" s="396"/>
      <c r="Q93" s="396"/>
      <c r="R93" s="396"/>
      <c r="S93" s="396"/>
      <c r="T93" s="396"/>
      <c r="U93" s="396"/>
    </row>
    <row r="94" spans="1:25" s="27" customFormat="1">
      <c r="A94" s="383"/>
      <c r="B94" s="384" t="s">
        <v>199</v>
      </c>
      <c r="C94" s="385" t="s">
        <v>167</v>
      </c>
      <c r="D94" s="386">
        <v>3.2</v>
      </c>
      <c r="E94" s="379"/>
      <c r="F94" s="411"/>
      <c r="G94" s="396"/>
      <c r="H94" s="396"/>
      <c r="I94" s="396"/>
      <c r="J94" s="396"/>
      <c r="K94" s="396"/>
      <c r="L94" s="396"/>
      <c r="M94" s="396"/>
      <c r="N94" s="396"/>
      <c r="O94" s="396"/>
      <c r="P94" s="396"/>
      <c r="Q94" s="396"/>
      <c r="R94" s="396"/>
      <c r="S94" s="396"/>
      <c r="T94" s="396"/>
      <c r="U94" s="396"/>
    </row>
    <row r="95" spans="1:25" s="27" customFormat="1">
      <c r="A95" s="383"/>
      <c r="B95" s="384" t="s">
        <v>200</v>
      </c>
      <c r="C95" s="385" t="s">
        <v>167</v>
      </c>
      <c r="D95" s="386">
        <v>2.27</v>
      </c>
      <c r="E95" s="379"/>
      <c r="F95" s="411"/>
      <c r="G95" s="396"/>
      <c r="H95" s="396"/>
      <c r="I95" s="396"/>
      <c r="J95" s="396"/>
      <c r="K95" s="396"/>
      <c r="L95" s="396"/>
      <c r="M95" s="396"/>
      <c r="N95" s="396"/>
      <c r="O95" s="396"/>
      <c r="P95" s="396"/>
      <c r="Q95" s="396"/>
      <c r="R95" s="396"/>
      <c r="S95" s="396"/>
      <c r="T95" s="396"/>
      <c r="U95" s="396"/>
    </row>
    <row r="96" spans="1:25" s="27" customFormat="1">
      <c r="A96" s="383"/>
      <c r="B96" s="384" t="s">
        <v>201</v>
      </c>
      <c r="C96" s="385" t="s">
        <v>167</v>
      </c>
      <c r="D96" s="386">
        <v>4</v>
      </c>
      <c r="E96" s="379"/>
      <c r="F96" s="411"/>
      <c r="G96" s="396"/>
      <c r="H96" s="396"/>
      <c r="I96" s="396"/>
      <c r="J96" s="396"/>
      <c r="K96" s="396"/>
      <c r="L96" s="396"/>
      <c r="M96" s="396"/>
      <c r="N96" s="396"/>
      <c r="O96" s="396"/>
      <c r="P96" s="396"/>
      <c r="Q96" s="396"/>
      <c r="R96" s="396"/>
      <c r="S96" s="396"/>
      <c r="T96" s="396"/>
      <c r="U96" s="396"/>
    </row>
    <row r="97" spans="1:25" s="27" customFormat="1">
      <c r="A97" s="383"/>
      <c r="B97" s="384" t="s">
        <v>202</v>
      </c>
      <c r="C97" s="385" t="s">
        <v>167</v>
      </c>
      <c r="D97" s="386">
        <v>6.7000000000000004E-2</v>
      </c>
      <c r="E97" s="379"/>
      <c r="F97" s="411"/>
      <c r="G97" s="396"/>
      <c r="H97" s="396"/>
      <c r="I97" s="396"/>
      <c r="J97" s="396"/>
      <c r="K97" s="396"/>
      <c r="L97" s="396"/>
      <c r="M97" s="396"/>
      <c r="N97" s="396"/>
      <c r="O97" s="396"/>
      <c r="P97" s="396"/>
      <c r="Q97" s="396"/>
      <c r="R97" s="396"/>
      <c r="S97" s="396"/>
      <c r="T97" s="396"/>
      <c r="U97" s="396"/>
    </row>
    <row r="98" spans="1:25" s="27" customFormat="1">
      <c r="A98" s="383"/>
      <c r="B98" s="384" t="s">
        <v>203</v>
      </c>
      <c r="C98" s="385" t="s">
        <v>167</v>
      </c>
      <c r="D98" s="386">
        <v>0.12</v>
      </c>
      <c r="E98" s="379"/>
      <c r="F98" s="411"/>
      <c r="G98" s="396"/>
      <c r="H98" s="396"/>
      <c r="I98" s="396"/>
      <c r="J98" s="396"/>
      <c r="K98" s="396"/>
      <c r="L98" s="396"/>
      <c r="M98" s="396"/>
      <c r="N98" s="396"/>
      <c r="O98" s="396"/>
      <c r="P98" s="396"/>
      <c r="Q98" s="396"/>
      <c r="R98" s="396"/>
      <c r="S98" s="396"/>
      <c r="T98" s="396"/>
      <c r="U98" s="396"/>
    </row>
    <row r="99" spans="1:25" s="27" customFormat="1">
      <c r="A99" s="383"/>
      <c r="B99" s="384"/>
      <c r="C99" s="385"/>
      <c r="D99" s="386"/>
      <c r="E99" s="379"/>
      <c r="F99" s="411"/>
      <c r="G99" s="396"/>
      <c r="H99" s="396"/>
      <c r="I99" s="396"/>
      <c r="J99" s="396"/>
      <c r="K99" s="396"/>
      <c r="L99" s="396"/>
      <c r="M99" s="396"/>
      <c r="N99" s="396"/>
      <c r="O99" s="396"/>
      <c r="P99" s="396"/>
      <c r="Q99" s="396"/>
      <c r="R99" s="396"/>
      <c r="S99" s="396"/>
      <c r="T99" s="396"/>
      <c r="U99" s="396"/>
    </row>
    <row r="100" spans="1:25" s="27" customFormat="1">
      <c r="A100" s="234" t="s">
        <v>228</v>
      </c>
      <c r="B100" s="23"/>
      <c r="C100" s="23"/>
      <c r="D100" s="24"/>
      <c r="E100" s="23"/>
      <c r="F100" s="25"/>
      <c r="G100" s="396"/>
      <c r="H100" s="396"/>
      <c r="I100" s="396"/>
      <c r="J100" s="396"/>
      <c r="K100" s="396"/>
      <c r="L100" s="396"/>
      <c r="M100" s="396"/>
      <c r="N100" s="396"/>
      <c r="O100" s="396"/>
      <c r="P100" s="396"/>
      <c r="Q100" s="396"/>
      <c r="R100" s="396"/>
      <c r="S100" s="396"/>
      <c r="T100" s="396"/>
      <c r="U100" s="396"/>
    </row>
    <row r="101" spans="1:25" s="27" customFormat="1">
      <c r="A101" s="18">
        <v>7100000705</v>
      </c>
      <c r="B101" s="20" t="s">
        <v>229</v>
      </c>
      <c r="C101" s="1" t="s">
        <v>167</v>
      </c>
      <c r="D101" s="21">
        <v>3.23</v>
      </c>
      <c r="E101" s="1"/>
      <c r="F101" s="21"/>
      <c r="G101" s="396"/>
      <c r="H101" s="396"/>
      <c r="I101" s="396"/>
      <c r="J101" s="396"/>
      <c r="K101" s="396"/>
      <c r="L101" s="396"/>
      <c r="M101" s="396"/>
      <c r="N101" s="396"/>
      <c r="O101" s="396"/>
      <c r="P101" s="396"/>
      <c r="Q101" s="396"/>
      <c r="R101" s="396"/>
      <c r="S101" s="396"/>
      <c r="T101" s="396"/>
      <c r="U101" s="396"/>
    </row>
    <row r="102" spans="1:25" s="27" customFormat="1">
      <c r="A102" s="18">
        <v>7100000952</v>
      </c>
      <c r="B102" s="20" t="s">
        <v>230</v>
      </c>
      <c r="C102" s="1" t="s">
        <v>167</v>
      </c>
      <c r="D102" s="21">
        <v>0.81499999999999995</v>
      </c>
      <c r="E102" s="1"/>
      <c r="F102" s="21"/>
      <c r="G102" s="396"/>
      <c r="H102" s="396"/>
      <c r="I102" s="396"/>
      <c r="J102" s="396"/>
      <c r="K102" s="396"/>
      <c r="L102" s="396"/>
      <c r="M102" s="396"/>
      <c r="N102" s="396"/>
      <c r="O102" s="396"/>
      <c r="P102" s="396"/>
      <c r="Q102" s="396"/>
      <c r="R102" s="396"/>
      <c r="S102" s="396"/>
      <c r="T102" s="396"/>
      <c r="U102" s="396"/>
    </row>
    <row r="103" spans="1:25" s="27" customFormat="1">
      <c r="A103" s="18">
        <v>7100000953</v>
      </c>
      <c r="B103" s="20" t="s">
        <v>231</v>
      </c>
      <c r="C103" s="1" t="s">
        <v>167</v>
      </c>
      <c r="D103" s="21">
        <v>2.64</v>
      </c>
      <c r="E103" s="1"/>
      <c r="F103" s="21"/>
      <c r="G103" s="396"/>
      <c r="H103" s="396"/>
      <c r="I103" s="396"/>
      <c r="J103" s="396"/>
      <c r="K103" s="396"/>
      <c r="L103" s="396"/>
      <c r="M103" s="396"/>
      <c r="N103" s="396"/>
      <c r="O103" s="396"/>
      <c r="P103" s="396"/>
      <c r="Q103" s="396"/>
      <c r="R103" s="396"/>
      <c r="S103" s="396"/>
      <c r="T103" s="396"/>
      <c r="U103" s="396"/>
    </row>
    <row r="104" spans="1:25" s="27" customFormat="1">
      <c r="A104" s="18">
        <v>7100000954</v>
      </c>
      <c r="B104" s="20" t="s">
        <v>232</v>
      </c>
      <c r="C104" s="1" t="s">
        <v>167</v>
      </c>
      <c r="D104" s="21">
        <v>3.85</v>
      </c>
      <c r="E104" s="1"/>
      <c r="F104" s="21"/>
      <c r="G104" s="396"/>
      <c r="H104" s="396"/>
      <c r="I104" s="396"/>
      <c r="J104" s="396"/>
      <c r="K104" s="396"/>
      <c r="L104" s="396"/>
      <c r="M104" s="396"/>
      <c r="N104" s="396"/>
      <c r="O104" s="396"/>
      <c r="P104" s="396"/>
      <c r="Q104" s="396"/>
      <c r="R104" s="396"/>
      <c r="S104" s="396"/>
      <c r="T104" s="396"/>
      <c r="U104" s="396"/>
    </row>
    <row r="105" spans="1:25" s="27" customFormat="1">
      <c r="A105" s="18">
        <v>7100000700</v>
      </c>
      <c r="B105" s="20" t="s">
        <v>233</v>
      </c>
      <c r="C105" s="1" t="s">
        <v>167</v>
      </c>
      <c r="D105" s="21">
        <v>2.4900000000000002</v>
      </c>
      <c r="E105" s="1"/>
      <c r="F105" s="21"/>
      <c r="G105" s="396"/>
      <c r="H105" s="396"/>
      <c r="I105" s="396"/>
      <c r="J105" s="396"/>
      <c r="K105" s="396"/>
      <c r="L105" s="396"/>
      <c r="M105" s="396"/>
      <c r="N105" s="396"/>
      <c r="O105" s="396"/>
      <c r="P105" s="396"/>
      <c r="Q105" s="396"/>
      <c r="R105" s="396"/>
      <c r="S105" s="396"/>
      <c r="T105" s="396"/>
      <c r="U105" s="396"/>
    </row>
    <row r="106" spans="1:25" s="27" customFormat="1">
      <c r="A106" s="18">
        <v>7100001157</v>
      </c>
      <c r="B106" s="20" t="s">
        <v>299</v>
      </c>
      <c r="C106" s="1" t="s">
        <v>167</v>
      </c>
      <c r="D106" s="21">
        <v>3.02</v>
      </c>
      <c r="E106" s="1"/>
      <c r="F106" s="21"/>
      <c r="G106" s="396"/>
      <c r="H106" s="396"/>
      <c r="I106" s="396"/>
      <c r="J106" s="396"/>
      <c r="K106" s="396"/>
      <c r="L106" s="396"/>
      <c r="M106" s="396"/>
      <c r="N106" s="396"/>
      <c r="O106" s="396"/>
      <c r="P106" s="396"/>
      <c r="Q106" s="396"/>
      <c r="R106" s="396"/>
      <c r="S106" s="396"/>
      <c r="T106" s="396"/>
      <c r="U106" s="396"/>
    </row>
    <row r="107" spans="1:25" s="27" customFormat="1">
      <c r="A107" s="413"/>
      <c r="B107" s="20" t="s">
        <v>300</v>
      </c>
      <c r="C107" s="1" t="s">
        <v>167</v>
      </c>
      <c r="D107" s="21">
        <v>0.2</v>
      </c>
      <c r="E107" s="1"/>
      <c r="F107" s="21"/>
      <c r="G107" s="396"/>
      <c r="H107" s="396"/>
      <c r="I107" s="396"/>
      <c r="J107" s="396"/>
      <c r="K107" s="396"/>
      <c r="L107" s="396"/>
      <c r="M107" s="396"/>
      <c r="N107" s="396"/>
      <c r="O107" s="396"/>
      <c r="P107" s="396"/>
      <c r="Q107" s="396"/>
      <c r="R107" s="396"/>
      <c r="S107" s="396"/>
      <c r="T107" s="396"/>
      <c r="U107" s="396"/>
    </row>
    <row r="108" spans="1:25" s="27" customFormat="1">
      <c r="A108" s="18"/>
      <c r="B108" s="20" t="s">
        <v>234</v>
      </c>
      <c r="C108" s="1" t="s">
        <v>167</v>
      </c>
      <c r="D108" s="21">
        <v>2.7</v>
      </c>
      <c r="E108" s="1"/>
      <c r="F108" s="21"/>
      <c r="G108" s="396"/>
      <c r="H108" s="396"/>
      <c r="I108" s="396"/>
      <c r="J108" s="396"/>
      <c r="K108" s="396"/>
      <c r="L108" s="396"/>
      <c r="M108" s="396"/>
      <c r="N108" s="396"/>
      <c r="O108" s="396"/>
      <c r="P108" s="396"/>
      <c r="Q108" s="396"/>
      <c r="R108" s="396"/>
      <c r="S108" s="396"/>
      <c r="T108" s="396"/>
      <c r="U108" s="396"/>
    </row>
    <row r="109" spans="1:25" s="27" customFormat="1">
      <c r="A109" s="383"/>
      <c r="B109" s="424" t="s">
        <v>322</v>
      </c>
      <c r="C109" s="387" t="s">
        <v>167</v>
      </c>
      <c r="D109" s="425">
        <v>7.0000000000000007E-2</v>
      </c>
      <c r="E109" s="379"/>
      <c r="F109" s="381"/>
      <c r="G109" s="381"/>
      <c r="H109" s="381"/>
      <c r="I109" s="381"/>
      <c r="J109" s="381"/>
      <c r="K109" s="381"/>
      <c r="L109" s="381"/>
      <c r="M109" s="381"/>
      <c r="N109" s="381"/>
      <c r="O109" s="381"/>
      <c r="P109" s="381"/>
      <c r="Q109" s="381"/>
      <c r="R109" s="381"/>
      <c r="S109" s="381"/>
      <c r="T109" s="381"/>
      <c r="U109" s="381"/>
      <c r="V109" s="22"/>
      <c r="W109" s="22"/>
      <c r="X109" s="22"/>
      <c r="Y109" s="22"/>
    </row>
    <row r="110" spans="1:25" s="27" customFormat="1">
      <c r="A110" s="383"/>
      <c r="B110" s="384"/>
      <c r="C110" s="385"/>
      <c r="D110" s="386"/>
      <c r="E110" s="379"/>
      <c r="F110" s="381"/>
      <c r="G110" s="381"/>
      <c r="H110" s="381"/>
      <c r="I110" s="381"/>
      <c r="J110" s="381"/>
      <c r="K110" s="381"/>
      <c r="L110" s="381"/>
      <c r="M110" s="381"/>
      <c r="N110" s="381"/>
      <c r="O110" s="381"/>
      <c r="P110" s="381"/>
      <c r="Q110" s="381"/>
      <c r="R110" s="381"/>
      <c r="S110" s="381"/>
      <c r="T110" s="381"/>
      <c r="U110" s="381"/>
      <c r="V110" s="22"/>
      <c r="W110" s="22"/>
      <c r="X110" s="22"/>
      <c r="Y110" s="22"/>
    </row>
    <row r="111" spans="1:25" s="27" customFormat="1">
      <c r="A111" s="234" t="s">
        <v>187</v>
      </c>
      <c r="B111" s="23"/>
      <c r="C111" s="23"/>
      <c r="D111" s="24"/>
      <c r="E111" s="23"/>
      <c r="F111" s="25"/>
      <c r="G111" s="381"/>
      <c r="H111" s="381"/>
      <c r="I111" s="381"/>
      <c r="J111" s="381"/>
      <c r="K111" s="381"/>
      <c r="L111" s="381"/>
      <c r="M111" s="381"/>
      <c r="N111" s="381"/>
      <c r="O111" s="381"/>
      <c r="P111" s="381"/>
      <c r="Q111" s="381"/>
      <c r="R111" s="381"/>
      <c r="S111" s="381"/>
      <c r="T111" s="381"/>
      <c r="U111" s="381"/>
      <c r="V111" s="22"/>
      <c r="W111" s="22"/>
      <c r="X111" s="22"/>
      <c r="Y111" s="22"/>
    </row>
    <row r="112" spans="1:25" s="27" customFormat="1">
      <c r="A112" s="18">
        <v>7100000974</v>
      </c>
      <c r="B112" s="20" t="s">
        <v>301</v>
      </c>
      <c r="C112" s="1" t="s">
        <v>189</v>
      </c>
      <c r="D112" s="20">
        <v>185</v>
      </c>
      <c r="E112" s="1"/>
      <c r="F112" s="21"/>
      <c r="G112" s="381"/>
      <c r="H112" s="381"/>
      <c r="I112" s="381"/>
      <c r="J112" s="381"/>
      <c r="K112" s="381"/>
      <c r="L112" s="381"/>
      <c r="M112" s="381"/>
      <c r="N112" s="381"/>
      <c r="O112" s="381"/>
      <c r="P112" s="381"/>
      <c r="Q112" s="381"/>
      <c r="R112" s="381"/>
      <c r="S112" s="381"/>
      <c r="T112" s="381"/>
      <c r="U112" s="381"/>
      <c r="V112" s="22"/>
      <c r="W112" s="22"/>
      <c r="X112" s="22"/>
      <c r="Y112" s="22"/>
    </row>
    <row r="113" spans="1:25" s="27" customFormat="1">
      <c r="A113" s="18"/>
      <c r="B113" s="20" t="s">
        <v>302</v>
      </c>
      <c r="C113" s="1" t="s">
        <v>167</v>
      </c>
      <c r="D113" s="20">
        <v>7.3999999999999996E-2</v>
      </c>
      <c r="E113" s="1"/>
      <c r="F113" s="21"/>
      <c r="G113" s="381"/>
      <c r="H113" s="381"/>
      <c r="I113" s="381"/>
      <c r="J113" s="381"/>
      <c r="K113" s="381"/>
      <c r="L113" s="381"/>
      <c r="M113" s="381"/>
      <c r="N113" s="381"/>
      <c r="O113" s="381"/>
      <c r="P113" s="381"/>
      <c r="Q113" s="381"/>
      <c r="R113" s="381"/>
      <c r="S113" s="381"/>
      <c r="T113" s="381"/>
      <c r="U113" s="381"/>
      <c r="V113" s="22"/>
      <c r="W113" s="22"/>
      <c r="X113" s="22"/>
      <c r="Y113" s="22"/>
    </row>
    <row r="114" spans="1:25" s="27" customFormat="1">
      <c r="A114" s="18">
        <v>7100000001</v>
      </c>
      <c r="B114" s="28" t="s">
        <v>303</v>
      </c>
      <c r="C114" s="1" t="s">
        <v>189</v>
      </c>
      <c r="D114" s="28">
        <v>210</v>
      </c>
      <c r="E114" s="1"/>
      <c r="F114" s="21"/>
      <c r="G114" s="381"/>
      <c r="H114" s="381"/>
      <c r="I114" s="381"/>
      <c r="J114" s="381"/>
      <c r="K114" s="381"/>
      <c r="L114" s="381"/>
      <c r="M114" s="381"/>
      <c r="N114" s="381"/>
      <c r="O114" s="381"/>
      <c r="P114" s="381"/>
      <c r="Q114" s="381"/>
      <c r="R114" s="381"/>
      <c r="S114" s="381"/>
      <c r="T114" s="381"/>
      <c r="U114" s="381"/>
      <c r="V114" s="22"/>
      <c r="W114" s="22"/>
      <c r="X114" s="22"/>
      <c r="Y114" s="22"/>
    </row>
    <row r="115" spans="1:25">
      <c r="A115" s="18"/>
      <c r="B115" s="20" t="s">
        <v>304</v>
      </c>
      <c r="C115" s="1" t="s">
        <v>167</v>
      </c>
      <c r="D115" s="20">
        <v>8.7999999999999995E-2</v>
      </c>
      <c r="E115" s="1"/>
      <c r="F115" s="21"/>
    </row>
    <row r="116" spans="1:25">
      <c r="A116" s="18">
        <v>7100000002</v>
      </c>
      <c r="B116" s="28" t="s">
        <v>305</v>
      </c>
      <c r="C116" s="1" t="s">
        <v>189</v>
      </c>
      <c r="D116" s="28">
        <v>230</v>
      </c>
      <c r="E116" s="1"/>
      <c r="F116" s="21"/>
      <c r="V116" s="26"/>
      <c r="W116" s="26"/>
      <c r="X116" s="26"/>
      <c r="Y116" s="26"/>
    </row>
    <row r="117" spans="1:25">
      <c r="A117" s="18"/>
      <c r="B117" s="20" t="s">
        <v>306</v>
      </c>
      <c r="C117" s="1" t="s">
        <v>167</v>
      </c>
      <c r="D117" s="20">
        <v>9.6000000000000002E-2</v>
      </c>
      <c r="E117" s="1"/>
      <c r="F117" s="21"/>
    </row>
    <row r="118" spans="1:25">
      <c r="A118" s="18">
        <v>7100000003</v>
      </c>
      <c r="B118" s="28" t="s">
        <v>307</v>
      </c>
      <c r="C118" s="1" t="s">
        <v>189</v>
      </c>
      <c r="D118" s="28">
        <v>255</v>
      </c>
      <c r="E118" s="1"/>
      <c r="F118" s="21"/>
      <c r="V118" s="27"/>
      <c r="W118" s="27"/>
      <c r="X118" s="27"/>
      <c r="Y118" s="27"/>
    </row>
    <row r="119" spans="1:25">
      <c r="A119" s="18"/>
      <c r="B119" s="20" t="s">
        <v>308</v>
      </c>
      <c r="C119" s="1" t="s">
        <v>167</v>
      </c>
      <c r="D119" s="20">
        <v>0.106</v>
      </c>
      <c r="E119" s="1"/>
      <c r="F119" s="21"/>
    </row>
    <row r="120" spans="1:25">
      <c r="A120" s="18">
        <v>7100000004</v>
      </c>
      <c r="B120" s="28" t="s">
        <v>309</v>
      </c>
      <c r="C120" s="1" t="s">
        <v>189</v>
      </c>
      <c r="D120" s="28">
        <v>285</v>
      </c>
      <c r="E120" s="1"/>
      <c r="F120" s="21"/>
    </row>
    <row r="121" spans="1:25">
      <c r="A121" s="18"/>
      <c r="B121" s="20" t="s">
        <v>310</v>
      </c>
      <c r="C121" s="1" t="s">
        <v>167</v>
      </c>
      <c r="D121" s="20">
        <v>0.11899999999999999</v>
      </c>
      <c r="E121" s="1"/>
      <c r="F121" s="21"/>
    </row>
    <row r="122" spans="1:25">
      <c r="A122" s="18">
        <v>7100000005</v>
      </c>
      <c r="B122" s="28" t="s">
        <v>311</v>
      </c>
      <c r="C122" s="1" t="s">
        <v>189</v>
      </c>
      <c r="D122" s="28">
        <v>320</v>
      </c>
      <c r="E122" s="1"/>
      <c r="F122" s="21"/>
    </row>
    <row r="123" spans="1:25">
      <c r="A123" s="18"/>
      <c r="B123" s="20" t="s">
        <v>312</v>
      </c>
      <c r="C123" s="1" t="s">
        <v>167</v>
      </c>
      <c r="D123" s="20">
        <v>0.13300000000000001</v>
      </c>
      <c r="E123" s="1"/>
      <c r="F123" s="21"/>
    </row>
    <row r="124" spans="1:25">
      <c r="A124" s="18">
        <v>7100000010</v>
      </c>
      <c r="B124" s="28" t="s">
        <v>313</v>
      </c>
      <c r="C124" s="1" t="s">
        <v>189</v>
      </c>
      <c r="D124" s="28">
        <v>395</v>
      </c>
      <c r="E124" s="1"/>
      <c r="F124" s="21"/>
    </row>
    <row r="125" spans="1:25">
      <c r="A125" s="18"/>
      <c r="B125" s="20" t="s">
        <v>314</v>
      </c>
      <c r="C125" s="1" t="s">
        <v>167</v>
      </c>
      <c r="D125" s="20">
        <v>0.17399999999999999</v>
      </c>
      <c r="E125" s="1"/>
      <c r="F125" s="21"/>
    </row>
    <row r="126" spans="1:25">
      <c r="A126" s="18"/>
      <c r="B126" s="20" t="s">
        <v>206</v>
      </c>
      <c r="C126" s="1" t="s">
        <v>167</v>
      </c>
      <c r="D126" s="20">
        <v>0.16</v>
      </c>
      <c r="E126" s="1"/>
      <c r="F126" s="21"/>
    </row>
    <row r="127" spans="1:25">
      <c r="A127" s="18"/>
      <c r="B127" s="1"/>
      <c r="C127" s="1"/>
      <c r="D127" s="414"/>
      <c r="E127" s="1"/>
      <c r="F127" s="21"/>
    </row>
    <row r="128" spans="1:25">
      <c r="A128" s="18">
        <v>7100000911</v>
      </c>
      <c r="B128" s="20" t="s">
        <v>238</v>
      </c>
      <c r="C128" s="1" t="s">
        <v>237</v>
      </c>
      <c r="D128" s="415">
        <v>0.41099999999999998</v>
      </c>
      <c r="E128" s="22"/>
      <c r="F128" s="22"/>
    </row>
    <row r="132" spans="2:25">
      <c r="B132" s="20" t="s">
        <v>235</v>
      </c>
      <c r="C132" s="1" t="s">
        <v>167</v>
      </c>
      <c r="D132" s="21">
        <v>0.24099999999999999</v>
      </c>
    </row>
    <row r="133" spans="2:25">
      <c r="B133" s="20" t="s">
        <v>236</v>
      </c>
      <c r="C133" s="1" t="s">
        <v>167</v>
      </c>
      <c r="D133" s="21">
        <v>0.104</v>
      </c>
    </row>
    <row r="134" spans="2:25">
      <c r="B134" s="384" t="s">
        <v>315</v>
      </c>
      <c r="C134" s="1" t="s">
        <v>167</v>
      </c>
      <c r="D134" s="386">
        <v>5.0000000000000002E-5</v>
      </c>
    </row>
    <row r="135" spans="2:25">
      <c r="C135" s="1"/>
      <c r="V135" s="27"/>
      <c r="W135" s="27"/>
      <c r="X135" s="27"/>
      <c r="Y135" s="27"/>
    </row>
    <row r="136" spans="2:25">
      <c r="V136" s="27"/>
      <c r="W136" s="27"/>
      <c r="X136" s="27"/>
      <c r="Y136" s="27"/>
    </row>
    <row r="137" spans="2:25">
      <c r="V137" s="27"/>
      <c r="W137" s="27"/>
      <c r="X137" s="27"/>
      <c r="Y137" s="27"/>
    </row>
    <row r="138" spans="2:25">
      <c r="V138" s="26"/>
      <c r="W138" s="26"/>
      <c r="X138" s="26"/>
      <c r="Y138" s="26"/>
    </row>
    <row r="139" spans="2:25">
      <c r="V139" s="26"/>
      <c r="W139" s="26"/>
      <c r="X139" s="26"/>
      <c r="Y139" s="26"/>
    </row>
    <row r="140" spans="2:25">
      <c r="V140" s="26"/>
      <c r="W140" s="26"/>
      <c r="X140" s="26"/>
      <c r="Y140" s="26"/>
    </row>
    <row r="141" spans="2:25">
      <c r="V141" s="26"/>
      <c r="W141" s="26"/>
      <c r="X141" s="26"/>
      <c r="Y141" s="26"/>
    </row>
    <row r="145" spans="22:25">
      <c r="V145" s="1"/>
      <c r="W145" s="1"/>
      <c r="X145" s="1"/>
      <c r="Y145" s="1"/>
    </row>
    <row r="146" spans="22:25">
      <c r="V146" s="1"/>
      <c r="W146" s="1"/>
      <c r="X146" s="1"/>
      <c r="Y146" s="1"/>
    </row>
    <row r="147" spans="22:25">
      <c r="V147" s="1"/>
      <c r="W147" s="1"/>
      <c r="X147" s="1"/>
      <c r="Y147" s="1"/>
    </row>
    <row r="148" spans="22:25">
      <c r="V148" s="1"/>
      <c r="W148" s="1"/>
      <c r="X148" s="1"/>
      <c r="Y148" s="1"/>
    </row>
    <row r="149" spans="22:25">
      <c r="V149" s="1"/>
      <c r="W149" s="1"/>
      <c r="X149" s="1"/>
      <c r="Y149" s="1"/>
    </row>
    <row r="150" spans="22:25">
      <c r="V150" s="1"/>
      <c r="W150" s="1"/>
      <c r="X150" s="1"/>
      <c r="Y150" s="1"/>
    </row>
    <row r="151" spans="22:25">
      <c r="V151" s="1"/>
      <c r="W151" s="1"/>
      <c r="X151" s="1"/>
      <c r="Y151" s="1"/>
    </row>
    <row r="152" spans="22:25">
      <c r="V152" s="1"/>
      <c r="W152" s="1"/>
      <c r="X152" s="1"/>
      <c r="Y152" s="1"/>
    </row>
    <row r="153" spans="22:25">
      <c r="V153" s="1"/>
      <c r="W153" s="1"/>
      <c r="X153" s="1"/>
      <c r="Y153" s="1"/>
    </row>
    <row r="154" spans="22:25">
      <c r="V154" s="1"/>
      <c r="W154" s="1"/>
      <c r="X154" s="1"/>
      <c r="Y154" s="1"/>
    </row>
    <row r="155" spans="22:25">
      <c r="V155" s="1"/>
      <c r="W155" s="1"/>
      <c r="X155" s="1"/>
      <c r="Y155" s="1"/>
    </row>
    <row r="156" spans="22:25">
      <c r="V156" s="1"/>
      <c r="W156" s="1"/>
      <c r="X156" s="1"/>
      <c r="Y156" s="1"/>
    </row>
    <row r="159" spans="22:25">
      <c r="V159" s="1"/>
      <c r="W159" s="1"/>
      <c r="X159" s="1"/>
      <c r="Y159" s="1"/>
    </row>
    <row r="160" spans="22:25">
      <c r="V160" s="1"/>
      <c r="W160" s="1"/>
      <c r="X160" s="1"/>
      <c r="Y160" s="1"/>
    </row>
    <row r="161" spans="22:25">
      <c r="V161" s="1"/>
      <c r="W161" s="1"/>
      <c r="X161" s="1"/>
      <c r="Y161" s="1"/>
    </row>
    <row r="162" spans="22:25">
      <c r="V162" s="1"/>
      <c r="W162" s="1"/>
      <c r="X162" s="1"/>
      <c r="Y162" s="1"/>
    </row>
    <row r="163" spans="22:25">
      <c r="V163" s="1"/>
      <c r="W163" s="1"/>
      <c r="X163" s="1"/>
      <c r="Y163" s="1"/>
    </row>
    <row r="166" spans="22:25">
      <c r="V166" s="1"/>
      <c r="W166" s="1"/>
      <c r="X166" s="1"/>
      <c r="Y166" s="1"/>
    </row>
    <row r="167" spans="22:25">
      <c r="V167" s="1"/>
      <c r="W167" s="1"/>
      <c r="X167" s="1"/>
      <c r="Y167" s="1"/>
    </row>
    <row r="168" spans="22:25">
      <c r="V168" s="1"/>
      <c r="W168" s="1"/>
      <c r="X168" s="1"/>
      <c r="Y168" s="1"/>
    </row>
    <row r="169" spans="22:25">
      <c r="V169" s="1"/>
      <c r="W169" s="1"/>
      <c r="X169" s="1"/>
      <c r="Y169" s="1"/>
    </row>
    <row r="170" spans="22:25">
      <c r="V170" s="1"/>
      <c r="W170" s="1"/>
      <c r="X170" s="1"/>
      <c r="Y170" s="1"/>
    </row>
    <row r="174" spans="22:25">
      <c r="V174" s="1"/>
      <c r="W174" s="1"/>
      <c r="X174" s="1"/>
      <c r="Y174" s="1"/>
    </row>
    <row r="175" spans="22:25">
      <c r="V175" s="1"/>
      <c r="W175" s="1"/>
      <c r="X175" s="1"/>
      <c r="Y175" s="1"/>
    </row>
    <row r="176" spans="22:25">
      <c r="V176" s="1"/>
      <c r="W176" s="1"/>
      <c r="X176" s="1"/>
      <c r="Y176" s="1"/>
    </row>
    <row r="177" spans="22:25">
      <c r="V177" s="1"/>
      <c r="W177" s="1"/>
      <c r="X177" s="1"/>
      <c r="Y177" s="1"/>
    </row>
    <row r="181" spans="22:25">
      <c r="V181" s="1"/>
      <c r="W181" s="1"/>
      <c r="X181" s="1"/>
      <c r="Y181" s="1"/>
    </row>
    <row r="243" spans="22:25">
      <c r="V243" s="26"/>
      <c r="W243" s="26"/>
      <c r="X243" s="26"/>
      <c r="Y243" s="26"/>
    </row>
    <row r="245" spans="22:25">
      <c r="V245" s="26"/>
      <c r="W245" s="26"/>
      <c r="X245" s="26"/>
      <c r="Y245" s="26"/>
    </row>
    <row r="246" spans="22:25">
      <c r="V246" s="26"/>
      <c r="W246" s="26"/>
      <c r="X246" s="26"/>
      <c r="Y246" s="26"/>
    </row>
    <row r="247" spans="22:25">
      <c r="V247" s="26"/>
      <c r="W247" s="26"/>
      <c r="X247" s="26"/>
      <c r="Y247" s="26"/>
    </row>
    <row r="248" spans="22:25">
      <c r="V248" s="26"/>
      <c r="W248" s="26"/>
      <c r="X248" s="26"/>
      <c r="Y248" s="26"/>
    </row>
    <row r="249" spans="22:25">
      <c r="V249" s="26"/>
      <c r="W249" s="26"/>
      <c r="X249" s="26"/>
      <c r="Y249" s="26"/>
    </row>
    <row r="250" spans="22:25">
      <c r="V250" s="26"/>
      <c r="W250" s="26"/>
      <c r="X250" s="26"/>
      <c r="Y250" s="26"/>
    </row>
    <row r="251" spans="22:25">
      <c r="V251" s="26"/>
      <c r="W251" s="26"/>
      <c r="X251" s="26"/>
      <c r="Y251" s="26"/>
    </row>
    <row r="252" spans="22:25">
      <c r="V252" s="26"/>
      <c r="W252" s="26"/>
      <c r="X252" s="26"/>
      <c r="Y252" s="26"/>
    </row>
    <row r="253" spans="22:25">
      <c r="V253" s="26"/>
      <c r="W253" s="26"/>
      <c r="X253" s="26"/>
      <c r="Y253" s="26"/>
    </row>
  </sheetData>
  <autoFilter ref="A1:D121" xr:uid="{00000000-0009-0000-0000-000001000000}"/>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4C362-C692-4DAC-995F-E534EA72C745}">
  <sheetPr filterMode="1"/>
  <dimension ref="A1:V173"/>
  <sheetViews>
    <sheetView topLeftCell="A127" zoomScale="70" zoomScaleNormal="70" workbookViewId="0">
      <selection activeCell="A149" sqref="A149:A155"/>
    </sheetView>
  </sheetViews>
  <sheetFormatPr defaultColWidth="8.6640625" defaultRowHeight="15"/>
  <cols>
    <col min="1" max="1" width="23.33203125" style="243" bestFit="1" customWidth="1"/>
    <col min="2" max="2" width="27.6640625" style="242" customWidth="1"/>
    <col min="3" max="3" width="7.88671875" style="243" bestFit="1" customWidth="1"/>
    <col min="4" max="4" width="9.6640625" style="244" bestFit="1" customWidth="1"/>
    <col min="5" max="6" width="11.5546875" style="244" bestFit="1" customWidth="1"/>
    <col min="7" max="7" width="8.6640625" style="33" bestFit="1" customWidth="1"/>
    <col min="8" max="8" width="17.6640625" style="33" bestFit="1" customWidth="1"/>
    <col min="9" max="9" width="11.21875" style="33" bestFit="1" customWidth="1"/>
    <col min="10" max="10" width="9.88671875" style="6" bestFit="1" customWidth="1"/>
    <col min="11" max="11" width="18.21875" style="32" bestFit="1" customWidth="1"/>
    <col min="12" max="12" width="16" style="32" bestFit="1" customWidth="1"/>
    <col min="13" max="13" width="20.109375" style="32" bestFit="1" customWidth="1"/>
    <col min="14" max="14" width="21.33203125" style="33" bestFit="1" customWidth="1"/>
    <col min="15" max="15" width="15.44140625" style="32" bestFit="1" customWidth="1"/>
    <col min="16" max="16" width="9.5546875" style="32" bestFit="1" customWidth="1"/>
    <col min="17" max="17" width="8.88671875" style="32" bestFit="1" customWidth="1"/>
    <col min="18" max="18" width="6.6640625" style="32" customWidth="1"/>
    <col min="19" max="19" width="8.6640625" style="32"/>
    <col min="20" max="20" width="11.33203125" style="32" bestFit="1" customWidth="1"/>
    <col min="21" max="21" width="20.33203125" style="32" bestFit="1" customWidth="1"/>
    <col min="22" max="16384" width="8.6640625" style="32"/>
  </cols>
  <sheetData>
    <row r="1" spans="1:16" s="33" customFormat="1" ht="15.6" thickBot="1">
      <c r="A1" s="241"/>
      <c r="B1" s="242"/>
      <c r="C1" s="243"/>
      <c r="D1" s="244"/>
      <c r="E1" s="244"/>
      <c r="F1" s="244"/>
      <c r="L1" s="191" t="s">
        <v>179</v>
      </c>
      <c r="M1" s="192">
        <v>3.1455790531179968</v>
      </c>
      <c r="N1" s="9">
        <v>0.9</v>
      </c>
      <c r="O1" s="6"/>
    </row>
    <row r="2" spans="1:16" s="33" customFormat="1" ht="15.6" thickBot="1">
      <c r="A2" s="245" t="s">
        <v>3</v>
      </c>
      <c r="B2" s="246" t="s">
        <v>4</v>
      </c>
      <c r="C2" s="246" t="s">
        <v>6</v>
      </c>
      <c r="D2" s="246" t="s">
        <v>5</v>
      </c>
      <c r="E2" s="246" t="s">
        <v>10</v>
      </c>
      <c r="F2" s="246" t="s">
        <v>14</v>
      </c>
      <c r="G2" s="35" t="s">
        <v>7</v>
      </c>
      <c r="H2" s="34" t="s">
        <v>8</v>
      </c>
      <c r="I2" s="34" t="s">
        <v>9</v>
      </c>
      <c r="L2" s="7" t="s">
        <v>11</v>
      </c>
      <c r="M2" s="8">
        <v>3.0445099999999998</v>
      </c>
      <c r="N2" s="10"/>
      <c r="O2" s="6"/>
    </row>
    <row r="3" spans="1:16" ht="16.2" thickBot="1">
      <c r="A3" s="247" t="s">
        <v>15</v>
      </c>
      <c r="B3" s="248"/>
      <c r="C3" s="249"/>
      <c r="D3" s="250"/>
      <c r="E3" s="251"/>
      <c r="F3" s="252"/>
      <c r="G3" s="36"/>
      <c r="H3" s="36"/>
      <c r="I3" s="36"/>
      <c r="L3" s="11" t="s">
        <v>181</v>
      </c>
      <c r="M3" s="12">
        <v>2.6239092461771314</v>
      </c>
      <c r="N3" s="13">
        <v>0.83499999999999996</v>
      </c>
      <c r="O3" s="6"/>
    </row>
    <row r="4" spans="1:16">
      <c r="A4" s="503" t="s">
        <v>16</v>
      </c>
      <c r="B4" s="254">
        <v>302</v>
      </c>
      <c r="C4" s="255">
        <v>2</v>
      </c>
      <c r="D4" s="105">
        <v>15</v>
      </c>
      <c r="E4" s="256">
        <f t="shared" ref="E4:E31" si="0">F4*D4*0.53</f>
        <v>0.79500000000000004</v>
      </c>
      <c r="F4" s="79">
        <v>0.1</v>
      </c>
      <c r="G4" s="38">
        <v>5</v>
      </c>
      <c r="H4" s="39">
        <f t="shared" ref="H4:H35" si="1">D4*I4*(0.6957*G4^-0.095)</f>
        <v>4.746647507339457</v>
      </c>
      <c r="I4" s="40">
        <v>0.53</v>
      </c>
      <c r="K4" s="6"/>
      <c r="L4" s="189" t="s">
        <v>180</v>
      </c>
      <c r="M4" s="195">
        <v>2.31</v>
      </c>
      <c r="N4" s="10"/>
      <c r="O4" s="29"/>
    </row>
    <row r="5" spans="1:16">
      <c r="A5" s="504"/>
      <c r="B5" s="258">
        <v>305</v>
      </c>
      <c r="C5" s="259">
        <v>5</v>
      </c>
      <c r="D5" s="82">
        <v>40</v>
      </c>
      <c r="E5" s="78">
        <f t="shared" si="0"/>
        <v>6.36</v>
      </c>
      <c r="F5" s="260">
        <v>0.3</v>
      </c>
      <c r="G5" s="43">
        <v>5</v>
      </c>
      <c r="H5" s="44">
        <f t="shared" si="1"/>
        <v>12.657726686238554</v>
      </c>
      <c r="I5" s="45">
        <v>0.53</v>
      </c>
      <c r="K5" s="6"/>
      <c r="L5" s="197" t="s">
        <v>210</v>
      </c>
      <c r="M5" s="196">
        <v>1.881</v>
      </c>
      <c r="N5" s="10"/>
      <c r="O5" s="29"/>
    </row>
    <row r="6" spans="1:16">
      <c r="A6" s="504"/>
      <c r="B6" s="258">
        <v>308</v>
      </c>
      <c r="C6" s="259">
        <v>8</v>
      </c>
      <c r="D6" s="82">
        <v>50</v>
      </c>
      <c r="E6" s="78">
        <f t="shared" si="0"/>
        <v>10.600000000000001</v>
      </c>
      <c r="F6" s="260">
        <v>0.4</v>
      </c>
      <c r="G6" s="43">
        <v>5</v>
      </c>
      <c r="H6" s="44">
        <f t="shared" si="1"/>
        <v>15.822158357798189</v>
      </c>
      <c r="I6" s="45">
        <v>0.53</v>
      </c>
      <c r="K6" s="6"/>
      <c r="L6" s="14" t="s">
        <v>12</v>
      </c>
      <c r="M6" s="15">
        <v>0.22867000000000001</v>
      </c>
      <c r="N6" s="16">
        <v>2.9144806484743908</v>
      </c>
      <c r="O6" s="6"/>
    </row>
    <row r="7" spans="1:16">
      <c r="A7" s="504"/>
      <c r="B7" s="258">
        <v>313</v>
      </c>
      <c r="C7" s="259">
        <v>12</v>
      </c>
      <c r="D7" s="82">
        <v>60</v>
      </c>
      <c r="E7" s="78">
        <f t="shared" si="0"/>
        <v>19.080000000000002</v>
      </c>
      <c r="F7" s="260">
        <v>0.6</v>
      </c>
      <c r="G7" s="43">
        <v>5</v>
      </c>
      <c r="H7" s="44">
        <f t="shared" si="1"/>
        <v>18.986590029357828</v>
      </c>
      <c r="I7" s="45">
        <v>0.53</v>
      </c>
      <c r="K7" s="6"/>
      <c r="L7" s="7" t="s">
        <v>2</v>
      </c>
      <c r="M7" s="193">
        <v>2.5050145501265423E-3</v>
      </c>
      <c r="N7" s="194">
        <v>2.5050145501265423E-3</v>
      </c>
      <c r="O7" s="141"/>
    </row>
    <row r="8" spans="1:16">
      <c r="A8" s="504"/>
      <c r="B8" s="258">
        <v>316</v>
      </c>
      <c r="C8" s="259">
        <v>14</v>
      </c>
      <c r="D8" s="82">
        <v>70</v>
      </c>
      <c r="E8" s="78">
        <f t="shared" si="0"/>
        <v>24.115000000000002</v>
      </c>
      <c r="F8" s="260">
        <v>0.65</v>
      </c>
      <c r="G8" s="43">
        <v>5</v>
      </c>
      <c r="H8" s="44">
        <f t="shared" si="1"/>
        <v>22.151021700917468</v>
      </c>
      <c r="I8" s="45">
        <v>0.53</v>
      </c>
      <c r="K8" s="6"/>
      <c r="L8" s="14" t="s">
        <v>0</v>
      </c>
      <c r="M8" s="15">
        <v>0.71518000000000004</v>
      </c>
      <c r="N8" s="10"/>
      <c r="O8" s="141"/>
    </row>
    <row r="9" spans="1:16">
      <c r="A9" s="504"/>
      <c r="B9" s="258">
        <v>318</v>
      </c>
      <c r="C9" s="259">
        <v>17</v>
      </c>
      <c r="D9" s="82">
        <v>80</v>
      </c>
      <c r="E9" s="78">
        <f t="shared" si="0"/>
        <v>31.8</v>
      </c>
      <c r="F9" s="260">
        <v>0.75</v>
      </c>
      <c r="G9" s="43">
        <v>5</v>
      </c>
      <c r="H9" s="44">
        <f t="shared" si="1"/>
        <v>25.315453372477108</v>
      </c>
      <c r="I9" s="45">
        <v>0.53</v>
      </c>
      <c r="K9" s="6"/>
      <c r="L9" s="189" t="s">
        <v>132</v>
      </c>
      <c r="M9" s="190">
        <v>0.4</v>
      </c>
      <c r="N9" s="10"/>
      <c r="O9" s="141"/>
    </row>
    <row r="10" spans="1:16">
      <c r="A10" s="504"/>
      <c r="B10" s="261">
        <v>320</v>
      </c>
      <c r="C10" s="262">
        <v>21</v>
      </c>
      <c r="D10" s="263">
        <v>100</v>
      </c>
      <c r="E10" s="264">
        <f t="shared" si="0"/>
        <v>48.230000000000004</v>
      </c>
      <c r="F10" s="265">
        <v>0.91</v>
      </c>
      <c r="G10" s="49">
        <v>5</v>
      </c>
      <c r="H10" s="50">
        <f t="shared" si="1"/>
        <v>31.644316715596378</v>
      </c>
      <c r="I10" s="51">
        <v>0.53</v>
      </c>
      <c r="K10" s="6"/>
      <c r="L10" s="11" t="s">
        <v>1</v>
      </c>
      <c r="M10" s="17">
        <v>2.3133999999999999E-4</v>
      </c>
      <c r="N10" s="10"/>
      <c r="O10" s="141"/>
    </row>
    <row r="11" spans="1:16">
      <c r="A11" s="504"/>
      <c r="B11" s="258">
        <v>326</v>
      </c>
      <c r="C11" s="259">
        <v>25</v>
      </c>
      <c r="D11" s="82">
        <v>158</v>
      </c>
      <c r="E11" s="78">
        <f t="shared" si="0"/>
        <v>102.1628</v>
      </c>
      <c r="F11" s="260">
        <v>1.22</v>
      </c>
      <c r="G11" s="43">
        <v>5</v>
      </c>
      <c r="H11" s="44">
        <f t="shared" si="1"/>
        <v>49.998020410642283</v>
      </c>
      <c r="I11" s="45">
        <v>0.53</v>
      </c>
      <c r="K11" s="6"/>
      <c r="L11" s="2" t="s">
        <v>7</v>
      </c>
      <c r="M11" s="2" t="s">
        <v>137</v>
      </c>
      <c r="N11" s="235">
        <v>28</v>
      </c>
      <c r="O11" s="235">
        <v>13</v>
      </c>
    </row>
    <row r="12" spans="1:16">
      <c r="A12" s="504"/>
      <c r="B12" s="258">
        <v>330</v>
      </c>
      <c r="C12" s="259">
        <v>30</v>
      </c>
      <c r="D12" s="82">
        <v>194</v>
      </c>
      <c r="E12" s="78">
        <f t="shared" si="0"/>
        <v>165.54020000000003</v>
      </c>
      <c r="F12" s="260">
        <v>1.61</v>
      </c>
      <c r="G12" s="43">
        <v>5</v>
      </c>
      <c r="H12" s="44">
        <f t="shared" si="1"/>
        <v>61.389974428256977</v>
      </c>
      <c r="I12" s="45">
        <v>0.53</v>
      </c>
      <c r="K12" s="6"/>
      <c r="L12" s="3">
        <v>5</v>
      </c>
      <c r="M12" s="4">
        <v>6</v>
      </c>
      <c r="N12" s="5">
        <v>330</v>
      </c>
      <c r="O12" s="5">
        <v>200</v>
      </c>
    </row>
    <row r="13" spans="1:16">
      <c r="A13" s="504"/>
      <c r="B13" s="266">
        <v>336</v>
      </c>
      <c r="C13" s="267">
        <v>37</v>
      </c>
      <c r="D13" s="123">
        <v>224</v>
      </c>
      <c r="E13" s="268">
        <f t="shared" si="0"/>
        <v>241.0016</v>
      </c>
      <c r="F13" s="269">
        <v>2.0299999999999998</v>
      </c>
      <c r="G13" s="53">
        <v>5</v>
      </c>
      <c r="H13" s="198">
        <f t="shared" si="1"/>
        <v>70.883269442935884</v>
      </c>
      <c r="I13" s="199">
        <v>0.53</v>
      </c>
      <c r="J13" s="54" t="s">
        <v>17</v>
      </c>
      <c r="K13" s="6"/>
      <c r="L13" s="41"/>
      <c r="M13" s="55"/>
    </row>
    <row r="14" spans="1:16">
      <c r="A14" s="504"/>
      <c r="B14" s="258">
        <v>345</v>
      </c>
      <c r="C14" s="259">
        <v>45</v>
      </c>
      <c r="D14" s="82">
        <v>258</v>
      </c>
      <c r="E14" s="78">
        <f t="shared" si="0"/>
        <v>318.60419999999999</v>
      </c>
      <c r="F14" s="260">
        <v>2.33</v>
      </c>
      <c r="G14" s="43">
        <v>5</v>
      </c>
      <c r="H14" s="44">
        <f t="shared" si="1"/>
        <v>81.642337126238658</v>
      </c>
      <c r="I14" s="45">
        <v>0.53</v>
      </c>
      <c r="K14" s="6"/>
      <c r="L14" s="41"/>
      <c r="P14" s="56"/>
    </row>
    <row r="15" spans="1:16" ht="15.6" thickBot="1">
      <c r="A15" s="505"/>
      <c r="B15" s="271">
        <v>352</v>
      </c>
      <c r="C15" s="272">
        <v>52</v>
      </c>
      <c r="D15" s="116">
        <v>302</v>
      </c>
      <c r="E15" s="273">
        <f t="shared" si="0"/>
        <v>528.19799999999998</v>
      </c>
      <c r="F15" s="274">
        <v>3.3</v>
      </c>
      <c r="G15" s="57">
        <v>5</v>
      </c>
      <c r="H15" s="58">
        <f t="shared" si="1"/>
        <v>95.565836481101073</v>
      </c>
      <c r="I15" s="59">
        <v>0.53</v>
      </c>
      <c r="K15" s="6"/>
      <c r="L15" s="41"/>
    </row>
    <row r="16" spans="1:16">
      <c r="A16" s="503" t="s">
        <v>18</v>
      </c>
      <c r="B16" s="275" t="s">
        <v>19</v>
      </c>
      <c r="C16" s="255">
        <v>15</v>
      </c>
      <c r="D16" s="105">
        <v>93</v>
      </c>
      <c r="E16" s="256">
        <f t="shared" si="0"/>
        <v>4.9290000000000003</v>
      </c>
      <c r="F16" s="276">
        <v>0.1</v>
      </c>
      <c r="G16" s="38">
        <v>5</v>
      </c>
      <c r="H16" s="39">
        <f t="shared" si="1"/>
        <v>29.429214545504632</v>
      </c>
      <c r="I16" s="40">
        <v>0.53</v>
      </c>
      <c r="K16" s="6"/>
      <c r="L16" s="60"/>
      <c r="M16" s="61"/>
      <c r="N16" s="37"/>
    </row>
    <row r="17" spans="1:16">
      <c r="A17" s="504"/>
      <c r="B17" s="80" t="s">
        <v>20</v>
      </c>
      <c r="C17" s="259">
        <v>17</v>
      </c>
      <c r="D17" s="82">
        <v>108</v>
      </c>
      <c r="E17" s="78">
        <f t="shared" si="0"/>
        <v>17.172000000000001</v>
      </c>
      <c r="F17" s="277">
        <v>0.3</v>
      </c>
      <c r="G17" s="43">
        <v>5</v>
      </c>
      <c r="H17" s="44">
        <f t="shared" si="1"/>
        <v>34.175862052844089</v>
      </c>
      <c r="I17" s="45">
        <v>0.53</v>
      </c>
      <c r="K17" s="6"/>
      <c r="L17" s="60"/>
      <c r="M17" s="61"/>
      <c r="N17" s="37"/>
    </row>
    <row r="18" spans="1:16" ht="15.6" thickBot="1">
      <c r="A18" s="506"/>
      <c r="B18" s="85" t="s">
        <v>21</v>
      </c>
      <c r="C18" s="279">
        <v>19.5</v>
      </c>
      <c r="D18" s="87">
        <v>129</v>
      </c>
      <c r="E18" s="280">
        <f t="shared" si="0"/>
        <v>27.348000000000003</v>
      </c>
      <c r="F18" s="281">
        <v>0.4</v>
      </c>
      <c r="G18" s="62">
        <v>5</v>
      </c>
      <c r="H18" s="63">
        <f t="shared" si="1"/>
        <v>40.821168563119329</v>
      </c>
      <c r="I18" s="64">
        <v>0.53</v>
      </c>
      <c r="K18" s="6"/>
      <c r="L18" s="60"/>
      <c r="M18" s="42"/>
      <c r="N18" s="56"/>
      <c r="O18" s="65"/>
      <c r="P18" s="66"/>
    </row>
    <row r="19" spans="1:16">
      <c r="A19" s="503" t="s">
        <v>22</v>
      </c>
      <c r="B19" s="254">
        <v>428</v>
      </c>
      <c r="C19" s="255">
        <v>8.1999999999999993</v>
      </c>
      <c r="D19" s="105">
        <v>52</v>
      </c>
      <c r="E19" s="256">
        <f t="shared" si="0"/>
        <v>27.560000000000002</v>
      </c>
      <c r="F19" s="79">
        <v>1</v>
      </c>
      <c r="G19" s="38">
        <v>5</v>
      </c>
      <c r="H19" s="39">
        <f t="shared" si="1"/>
        <v>16.455044692110118</v>
      </c>
      <c r="I19" s="40">
        <v>0.53</v>
      </c>
      <c r="K19" s="6"/>
      <c r="L19" s="60"/>
      <c r="M19" s="31"/>
      <c r="N19" s="56"/>
      <c r="O19" s="65"/>
      <c r="P19" s="66"/>
    </row>
    <row r="20" spans="1:16" ht="15.6">
      <c r="A20" s="504"/>
      <c r="B20" s="258">
        <v>432</v>
      </c>
      <c r="C20" s="259">
        <v>9.8000000000000007</v>
      </c>
      <c r="D20" s="82">
        <v>75</v>
      </c>
      <c r="E20" s="78">
        <f t="shared" si="0"/>
        <v>40.942500000000003</v>
      </c>
      <c r="F20" s="260">
        <v>1.03</v>
      </c>
      <c r="G20" s="43">
        <v>5</v>
      </c>
      <c r="H20" s="44">
        <f t="shared" si="1"/>
        <v>23.733237536697285</v>
      </c>
      <c r="I20" s="45">
        <v>0.53</v>
      </c>
      <c r="K20" s="6"/>
      <c r="L20" s="60"/>
      <c r="M20" s="67"/>
      <c r="N20" s="68"/>
    </row>
    <row r="21" spans="1:16" ht="15.6" thickBot="1">
      <c r="A21" s="506"/>
      <c r="B21" s="282">
        <v>444</v>
      </c>
      <c r="C21" s="279">
        <v>10.8</v>
      </c>
      <c r="D21" s="87">
        <v>82</v>
      </c>
      <c r="E21" s="280">
        <f t="shared" si="0"/>
        <v>56.498000000000005</v>
      </c>
      <c r="F21" s="283">
        <v>1.3</v>
      </c>
      <c r="G21" s="62">
        <v>5</v>
      </c>
      <c r="H21" s="63">
        <f t="shared" si="1"/>
        <v>25.948339706789032</v>
      </c>
      <c r="I21" s="64">
        <v>0.53</v>
      </c>
      <c r="K21" s="6"/>
      <c r="L21" s="60"/>
      <c r="M21" s="42"/>
      <c r="N21" s="69"/>
    </row>
    <row r="22" spans="1:16">
      <c r="A22" s="509" t="s">
        <v>23</v>
      </c>
      <c r="B22" s="284">
        <v>906</v>
      </c>
      <c r="C22" s="285">
        <v>5.7</v>
      </c>
      <c r="D22" s="112">
        <v>55</v>
      </c>
      <c r="E22" s="78">
        <f t="shared" si="0"/>
        <v>20.405000000000001</v>
      </c>
      <c r="F22" s="286">
        <v>0.7</v>
      </c>
      <c r="G22" s="70">
        <v>5</v>
      </c>
      <c r="H22" s="71">
        <f t="shared" si="1"/>
        <v>17.404374193578011</v>
      </c>
      <c r="I22" s="72">
        <v>0.53</v>
      </c>
      <c r="K22" s="6"/>
      <c r="L22" s="41"/>
      <c r="M22" s="46"/>
      <c r="N22" s="47"/>
    </row>
    <row r="23" spans="1:16">
      <c r="A23" s="504"/>
      <c r="B23" s="80">
        <v>910</v>
      </c>
      <c r="C23" s="81">
        <v>8.1</v>
      </c>
      <c r="D23" s="82">
        <v>73</v>
      </c>
      <c r="E23" s="78">
        <f t="shared" si="0"/>
        <v>46.427999999999997</v>
      </c>
      <c r="F23" s="260">
        <v>1.2</v>
      </c>
      <c r="G23" s="43">
        <v>5</v>
      </c>
      <c r="H23" s="44">
        <f t="shared" si="1"/>
        <v>23.100351202385358</v>
      </c>
      <c r="I23" s="45">
        <v>0.53</v>
      </c>
      <c r="K23" s="6"/>
      <c r="L23" s="41"/>
      <c r="M23" s="42"/>
      <c r="N23" s="48"/>
    </row>
    <row r="24" spans="1:16">
      <c r="A24" s="504"/>
      <c r="B24" s="80">
        <v>926</v>
      </c>
      <c r="C24" s="81">
        <v>12.7</v>
      </c>
      <c r="D24" s="82">
        <v>127</v>
      </c>
      <c r="E24" s="78">
        <f t="shared" si="0"/>
        <v>141.351</v>
      </c>
      <c r="F24" s="260">
        <v>2.1</v>
      </c>
      <c r="G24" s="43">
        <v>5</v>
      </c>
      <c r="H24" s="44">
        <f t="shared" si="1"/>
        <v>40.188282228807402</v>
      </c>
      <c r="I24" s="45">
        <v>0.53</v>
      </c>
      <c r="K24" s="6"/>
      <c r="L24" s="41"/>
      <c r="M24" s="42"/>
      <c r="N24" s="73"/>
    </row>
    <row r="25" spans="1:16">
      <c r="A25" s="504"/>
      <c r="B25" s="287">
        <v>938</v>
      </c>
      <c r="C25" s="288">
        <v>16.100000000000001</v>
      </c>
      <c r="D25" s="263">
        <v>143</v>
      </c>
      <c r="E25" s="264">
        <f t="shared" si="0"/>
        <v>159.15900000000002</v>
      </c>
      <c r="F25" s="265">
        <v>2.1</v>
      </c>
      <c r="G25" s="49">
        <v>5</v>
      </c>
      <c r="H25" s="50">
        <f t="shared" si="1"/>
        <v>45.251372903302823</v>
      </c>
      <c r="I25" s="51">
        <v>0.53</v>
      </c>
      <c r="K25" s="6"/>
      <c r="L25" s="41"/>
      <c r="M25" s="42"/>
      <c r="N25" s="74"/>
    </row>
    <row r="26" spans="1:16">
      <c r="A26" s="504"/>
      <c r="B26" s="80">
        <v>950</v>
      </c>
      <c r="C26" s="81">
        <v>19.600000000000001</v>
      </c>
      <c r="D26" s="82">
        <v>186</v>
      </c>
      <c r="E26" s="78">
        <f t="shared" si="0"/>
        <v>325.31399999999996</v>
      </c>
      <c r="F26" s="260">
        <v>3.3</v>
      </c>
      <c r="G26" s="43">
        <v>5</v>
      </c>
      <c r="H26" s="44">
        <f t="shared" si="1"/>
        <v>58.858429091009263</v>
      </c>
      <c r="I26" s="45">
        <v>0.53</v>
      </c>
      <c r="K26" s="6"/>
      <c r="L26" s="41"/>
      <c r="M26" s="46"/>
      <c r="N26" s="75"/>
    </row>
    <row r="27" spans="1:16">
      <c r="A27" s="504"/>
      <c r="B27" s="80">
        <v>962</v>
      </c>
      <c r="C27" s="81">
        <v>20.5</v>
      </c>
      <c r="D27" s="82">
        <v>202</v>
      </c>
      <c r="E27" s="78">
        <f t="shared" si="0"/>
        <v>385.41600000000005</v>
      </c>
      <c r="F27" s="260">
        <v>3.6</v>
      </c>
      <c r="G27" s="43">
        <v>5</v>
      </c>
      <c r="H27" s="44">
        <f t="shared" si="1"/>
        <v>63.921519765504691</v>
      </c>
      <c r="I27" s="45">
        <v>0.53</v>
      </c>
      <c r="K27" s="6"/>
      <c r="L27" s="41"/>
      <c r="M27" s="46"/>
      <c r="N27" s="52"/>
    </row>
    <row r="28" spans="1:16">
      <c r="A28" s="504"/>
      <c r="B28" s="289">
        <v>966</v>
      </c>
      <c r="C28" s="290">
        <v>24</v>
      </c>
      <c r="D28" s="123">
        <v>222</v>
      </c>
      <c r="E28" s="268">
        <f>F28*D28*0.53</f>
        <v>470.64000000000004</v>
      </c>
      <c r="F28" s="269">
        <v>4</v>
      </c>
      <c r="G28" s="53">
        <v>5</v>
      </c>
      <c r="H28" s="198">
        <f t="shared" si="1"/>
        <v>70.250383108623964</v>
      </c>
      <c r="I28" s="199">
        <v>0.53</v>
      </c>
      <c r="J28" s="54" t="s">
        <v>17</v>
      </c>
      <c r="K28" s="6"/>
      <c r="L28" s="41"/>
      <c r="M28" s="55"/>
      <c r="N28" s="42"/>
    </row>
    <row r="29" spans="1:16">
      <c r="A29" s="504"/>
      <c r="B29" s="80">
        <v>980</v>
      </c>
      <c r="C29" s="81">
        <v>31.3</v>
      </c>
      <c r="D29" s="82">
        <v>293</v>
      </c>
      <c r="E29" s="78">
        <f t="shared" si="0"/>
        <v>885.15300000000013</v>
      </c>
      <c r="F29" s="260">
        <v>5.7</v>
      </c>
      <c r="G29" s="43">
        <v>5</v>
      </c>
      <c r="H29" s="44">
        <f t="shared" si="1"/>
        <v>92.717847976697399</v>
      </c>
      <c r="I29" s="45">
        <v>0.53</v>
      </c>
      <c r="K29" s="6"/>
      <c r="L29" s="41"/>
      <c r="N29" s="76"/>
    </row>
    <row r="30" spans="1:16">
      <c r="A30" s="504"/>
      <c r="B30" s="80">
        <v>988</v>
      </c>
      <c r="C30" s="81">
        <v>51</v>
      </c>
      <c r="D30" s="82">
        <v>432</v>
      </c>
      <c r="E30" s="78">
        <f t="shared" si="0"/>
        <v>1465.3440000000003</v>
      </c>
      <c r="F30" s="260">
        <v>6.4</v>
      </c>
      <c r="G30" s="43">
        <v>5</v>
      </c>
      <c r="H30" s="44">
        <f t="shared" si="1"/>
        <v>136.70344821137635</v>
      </c>
      <c r="I30" s="45">
        <v>0.53</v>
      </c>
      <c r="K30" s="6"/>
      <c r="L30" s="41"/>
      <c r="M30" s="60"/>
    </row>
    <row r="31" spans="1:16" ht="15.6" thickBot="1">
      <c r="A31" s="505"/>
      <c r="B31" s="291">
        <v>990</v>
      </c>
      <c r="C31" s="292">
        <v>81</v>
      </c>
      <c r="D31" s="116">
        <v>586</v>
      </c>
      <c r="E31" s="78">
        <f t="shared" si="0"/>
        <v>2670.9879999999998</v>
      </c>
      <c r="F31" s="274">
        <v>8.6</v>
      </c>
      <c r="G31" s="57">
        <v>5</v>
      </c>
      <c r="H31" s="58">
        <f t="shared" si="1"/>
        <v>185.4356959533948</v>
      </c>
      <c r="I31" s="59">
        <v>0.53</v>
      </c>
      <c r="K31" s="6"/>
      <c r="L31" s="41"/>
      <c r="M31" s="60"/>
    </row>
    <row r="32" spans="1:16">
      <c r="A32" s="503" t="s">
        <v>24</v>
      </c>
      <c r="B32" s="275">
        <v>239</v>
      </c>
      <c r="C32" s="293">
        <v>3.4</v>
      </c>
      <c r="D32" s="105">
        <v>50.1</v>
      </c>
      <c r="E32" s="256">
        <f>F32*0.53*D32</f>
        <v>7.9659000000000004</v>
      </c>
      <c r="F32" s="294">
        <v>0.3</v>
      </c>
      <c r="G32" s="38">
        <v>5</v>
      </c>
      <c r="H32" s="39">
        <f t="shared" si="1"/>
        <v>15.853802674513787</v>
      </c>
      <c r="I32" s="40">
        <v>0.53</v>
      </c>
      <c r="K32" s="6"/>
      <c r="L32" s="60"/>
      <c r="M32" s="60"/>
    </row>
    <row r="33" spans="1:14">
      <c r="A33" s="504"/>
      <c r="B33" s="80">
        <v>255</v>
      </c>
      <c r="C33" s="81">
        <v>4.3</v>
      </c>
      <c r="D33" s="82">
        <v>55.4</v>
      </c>
      <c r="E33" s="78">
        <f t="shared" ref="E33:E37" si="2">F33*0.53*D33</f>
        <v>11.744800000000001</v>
      </c>
      <c r="F33" s="295">
        <v>0.4</v>
      </c>
      <c r="G33" s="43">
        <v>5</v>
      </c>
      <c r="H33" s="44">
        <f t="shared" si="1"/>
        <v>17.530951460440395</v>
      </c>
      <c r="I33" s="45">
        <v>0.53</v>
      </c>
      <c r="K33" s="6"/>
      <c r="L33" s="60"/>
      <c r="M33" s="60"/>
    </row>
    <row r="34" spans="1:14">
      <c r="A34" s="504"/>
      <c r="B34" s="80">
        <v>275</v>
      </c>
      <c r="C34" s="81">
        <v>5.6</v>
      </c>
      <c r="D34" s="82">
        <v>91</v>
      </c>
      <c r="E34" s="78">
        <f>F34*0.53*D34</f>
        <v>21.221200000000003</v>
      </c>
      <c r="F34" s="295">
        <v>0.44</v>
      </c>
      <c r="G34" s="43">
        <v>5</v>
      </c>
      <c r="H34" s="44">
        <f t="shared" si="1"/>
        <v>28.796328211192709</v>
      </c>
      <c r="I34" s="45">
        <v>0.53</v>
      </c>
      <c r="K34" s="6"/>
      <c r="L34" s="60"/>
      <c r="M34" s="60"/>
    </row>
    <row r="35" spans="1:14">
      <c r="A35" s="504"/>
      <c r="B35" s="80" t="s">
        <v>25</v>
      </c>
      <c r="C35" s="81">
        <v>2.7</v>
      </c>
      <c r="D35" s="82">
        <v>51</v>
      </c>
      <c r="E35" s="78">
        <f t="shared" si="2"/>
        <v>8.109</v>
      </c>
      <c r="F35" s="295">
        <v>0.3</v>
      </c>
      <c r="G35" s="43">
        <v>5</v>
      </c>
      <c r="H35" s="44">
        <f t="shared" si="1"/>
        <v>16.138601524954154</v>
      </c>
      <c r="I35" s="45">
        <v>0.53</v>
      </c>
      <c r="K35" s="6"/>
      <c r="L35" s="60"/>
      <c r="M35" s="60"/>
    </row>
    <row r="36" spans="1:14">
      <c r="A36" s="504"/>
      <c r="B36" s="80" t="s">
        <v>26</v>
      </c>
      <c r="C36" s="81">
        <v>4.3</v>
      </c>
      <c r="D36" s="82">
        <v>82</v>
      </c>
      <c r="E36" s="78">
        <f t="shared" si="2"/>
        <v>17.384</v>
      </c>
      <c r="F36" s="295">
        <v>0.4</v>
      </c>
      <c r="G36" s="43">
        <v>5</v>
      </c>
      <c r="H36" s="44">
        <f t="shared" ref="H36:H67" si="3">D36*I36*(0.6957*G36^-0.095)</f>
        <v>25.948339706789032</v>
      </c>
      <c r="I36" s="45">
        <v>0.53</v>
      </c>
      <c r="K36" s="6"/>
      <c r="L36" s="60"/>
      <c r="M36" s="60"/>
    </row>
    <row r="37" spans="1:14" ht="15.6" thickBot="1">
      <c r="A37" s="505"/>
      <c r="B37" s="291" t="s">
        <v>27</v>
      </c>
      <c r="C37" s="292">
        <v>4.9000000000000004</v>
      </c>
      <c r="D37" s="116">
        <v>91</v>
      </c>
      <c r="E37" s="273">
        <f t="shared" si="2"/>
        <v>21.221200000000003</v>
      </c>
      <c r="F37" s="296">
        <v>0.44</v>
      </c>
      <c r="G37" s="57">
        <v>5</v>
      </c>
      <c r="H37" s="58">
        <f t="shared" si="3"/>
        <v>28.796328211192709</v>
      </c>
      <c r="I37" s="59">
        <v>0.53</v>
      </c>
      <c r="K37" s="6"/>
      <c r="L37" s="60"/>
      <c r="M37" s="60"/>
    </row>
    <row r="38" spans="1:14">
      <c r="A38" s="503" t="s">
        <v>28</v>
      </c>
      <c r="B38" s="275">
        <v>725</v>
      </c>
      <c r="C38" s="293">
        <v>24</v>
      </c>
      <c r="D38" s="105">
        <v>255</v>
      </c>
      <c r="E38" s="256">
        <f>D38*0.53*F38/C38</f>
        <v>84.46875</v>
      </c>
      <c r="F38" s="79">
        <v>15</v>
      </c>
      <c r="G38" s="38">
        <v>5</v>
      </c>
      <c r="H38" s="39">
        <f t="shared" si="3"/>
        <v>80.693007624770772</v>
      </c>
      <c r="I38" s="40">
        <v>0.53</v>
      </c>
      <c r="K38" s="6"/>
      <c r="L38" s="60"/>
      <c r="M38" s="60"/>
      <c r="N38" s="77"/>
    </row>
    <row r="39" spans="1:14">
      <c r="A39" s="504"/>
      <c r="B39" s="287">
        <v>730</v>
      </c>
      <c r="C39" s="288">
        <v>28</v>
      </c>
      <c r="D39" s="263">
        <v>280</v>
      </c>
      <c r="E39" s="264">
        <f t="shared" ref="E39:E47" si="4">D39*0.53*F39/C39</f>
        <v>92.75</v>
      </c>
      <c r="F39" s="265">
        <v>17.5</v>
      </c>
      <c r="G39" s="49">
        <v>5</v>
      </c>
      <c r="H39" s="50">
        <f t="shared" si="3"/>
        <v>88.604086803669873</v>
      </c>
      <c r="I39" s="51">
        <v>0.53</v>
      </c>
      <c r="K39" s="6"/>
      <c r="L39" s="60"/>
      <c r="M39" s="60"/>
    </row>
    <row r="40" spans="1:14">
      <c r="A40" s="504"/>
      <c r="B40" s="80">
        <v>735</v>
      </c>
      <c r="C40" s="81">
        <v>32</v>
      </c>
      <c r="D40" s="82">
        <v>324</v>
      </c>
      <c r="E40" s="78">
        <f t="shared" si="4"/>
        <v>107.325</v>
      </c>
      <c r="F40" s="260">
        <v>20</v>
      </c>
      <c r="G40" s="43">
        <v>5</v>
      </c>
      <c r="H40" s="44">
        <f t="shared" si="3"/>
        <v>102.52758615853227</v>
      </c>
      <c r="I40" s="45">
        <v>0.53</v>
      </c>
      <c r="J40" s="30"/>
      <c r="K40" s="6"/>
      <c r="L40" s="60"/>
      <c r="M40" s="60"/>
    </row>
    <row r="41" spans="1:14">
      <c r="A41" s="504"/>
      <c r="B41" s="80">
        <v>740</v>
      </c>
      <c r="C41" s="81">
        <v>38</v>
      </c>
      <c r="D41" s="82">
        <v>337</v>
      </c>
      <c r="E41" s="78">
        <f t="shared" si="4"/>
        <v>108.10605263157896</v>
      </c>
      <c r="F41" s="260">
        <v>23</v>
      </c>
      <c r="G41" s="43">
        <v>5</v>
      </c>
      <c r="H41" s="44">
        <f t="shared" si="3"/>
        <v>106.6413473315598</v>
      </c>
      <c r="I41" s="45">
        <v>0.53</v>
      </c>
      <c r="K41" s="6"/>
      <c r="L41" s="60"/>
      <c r="M41" s="60"/>
    </row>
    <row r="42" spans="1:14" ht="15.6" thickBot="1">
      <c r="A42" s="506"/>
      <c r="B42" s="85">
        <v>745</v>
      </c>
      <c r="C42" s="86">
        <v>41</v>
      </c>
      <c r="D42" s="87">
        <v>381</v>
      </c>
      <c r="E42" s="280">
        <f t="shared" si="4"/>
        <v>128.05317073170733</v>
      </c>
      <c r="F42" s="283">
        <v>26</v>
      </c>
      <c r="G42" s="62">
        <v>5</v>
      </c>
      <c r="H42" s="63">
        <f t="shared" si="3"/>
        <v>120.56484668642221</v>
      </c>
      <c r="I42" s="64">
        <v>0.53</v>
      </c>
      <c r="K42" s="6"/>
      <c r="L42" s="60"/>
      <c r="M42" s="60"/>
    </row>
    <row r="43" spans="1:14">
      <c r="A43" s="511" t="s">
        <v>29</v>
      </c>
      <c r="B43" s="275" t="s">
        <v>30</v>
      </c>
      <c r="C43" s="293">
        <f>4.6+7</f>
        <v>11.6</v>
      </c>
      <c r="D43" s="105">
        <v>81</v>
      </c>
      <c r="E43" s="78">
        <f t="shared" si="4"/>
        <v>37.008620689655174</v>
      </c>
      <c r="F43" s="79">
        <v>10</v>
      </c>
      <c r="G43" s="38">
        <v>5</v>
      </c>
      <c r="H43" s="39">
        <f t="shared" si="3"/>
        <v>25.631896539633068</v>
      </c>
      <c r="I43" s="40">
        <v>0.53</v>
      </c>
      <c r="K43" s="6"/>
      <c r="L43" s="60"/>
      <c r="M43" s="60"/>
    </row>
    <row r="44" spans="1:14">
      <c r="A44" s="510"/>
      <c r="B44" s="80" t="s">
        <v>31</v>
      </c>
      <c r="C44" s="81">
        <f>11.1+7</f>
        <v>18.100000000000001</v>
      </c>
      <c r="D44" s="82">
        <f>235/1.343</f>
        <v>174.98138495904692</v>
      </c>
      <c r="E44" s="78">
        <f t="shared" si="4"/>
        <v>51.237643109555172</v>
      </c>
      <c r="F44" s="260">
        <v>10</v>
      </c>
      <c r="G44" s="43">
        <v>5</v>
      </c>
      <c r="H44" s="44">
        <f t="shared" si="3"/>
        <v>55.371663649777737</v>
      </c>
      <c r="I44" s="45">
        <v>0.53</v>
      </c>
      <c r="K44" s="6"/>
      <c r="L44" s="60"/>
      <c r="M44" s="60"/>
    </row>
    <row r="45" spans="1:14">
      <c r="A45" s="510"/>
      <c r="B45" s="287" t="s">
        <v>32</v>
      </c>
      <c r="C45" s="288">
        <f>11.1+7</f>
        <v>18.100000000000001</v>
      </c>
      <c r="D45" s="263">
        <f>348/1.343</f>
        <v>259.12137006701414</v>
      </c>
      <c r="E45" s="264">
        <f t="shared" si="4"/>
        <v>75.87531830691573</v>
      </c>
      <c r="F45" s="265">
        <v>10</v>
      </c>
      <c r="G45" s="49">
        <v>5</v>
      </c>
      <c r="H45" s="50">
        <f t="shared" si="3"/>
        <v>81.99718702179851</v>
      </c>
      <c r="I45" s="51">
        <v>0.53</v>
      </c>
      <c r="K45" s="6"/>
      <c r="L45" s="60"/>
      <c r="M45" s="60"/>
    </row>
    <row r="46" spans="1:14">
      <c r="A46" s="510"/>
      <c r="B46" s="80" t="s">
        <v>33</v>
      </c>
      <c r="C46" s="81">
        <f>5.2+7</f>
        <v>12.2</v>
      </c>
      <c r="D46" s="82">
        <f>130/1.343</f>
        <v>96.798212956068511</v>
      </c>
      <c r="E46" s="78">
        <f t="shared" si="4"/>
        <v>42.051682677636329</v>
      </c>
      <c r="F46" s="260">
        <v>10</v>
      </c>
      <c r="G46" s="43">
        <v>5</v>
      </c>
      <c r="H46" s="44">
        <f t="shared" si="3"/>
        <v>30.631133082855769</v>
      </c>
      <c r="I46" s="45">
        <v>0.53</v>
      </c>
      <c r="K46" s="6"/>
      <c r="L46" s="60"/>
      <c r="M46" s="60"/>
    </row>
    <row r="47" spans="1:14">
      <c r="A47" s="510"/>
      <c r="B47" s="80" t="s">
        <v>34</v>
      </c>
      <c r="C47" s="81">
        <f>10.8+7</f>
        <v>17.8</v>
      </c>
      <c r="D47" s="82">
        <f>300/1.343</f>
        <v>223.38049143708116</v>
      </c>
      <c r="E47" s="78">
        <f t="shared" si="4"/>
        <v>66.512168798681458</v>
      </c>
      <c r="F47" s="260">
        <v>10</v>
      </c>
      <c r="G47" s="43">
        <v>5</v>
      </c>
      <c r="H47" s="44">
        <f t="shared" si="3"/>
        <v>70.687230191205614</v>
      </c>
      <c r="I47" s="45">
        <v>0.53</v>
      </c>
      <c r="K47" s="6"/>
      <c r="L47" s="60"/>
      <c r="M47" s="60"/>
    </row>
    <row r="48" spans="1:14">
      <c r="A48" s="510"/>
      <c r="B48" s="80"/>
      <c r="C48" s="81"/>
      <c r="D48" s="82"/>
      <c r="E48" s="298"/>
      <c r="F48" s="260"/>
      <c r="G48" s="43"/>
      <c r="H48" s="44"/>
      <c r="I48" s="45"/>
      <c r="K48" s="6"/>
      <c r="L48" s="60"/>
      <c r="M48" s="60"/>
    </row>
    <row r="49" spans="1:13" ht="15.6" thickBot="1">
      <c r="A49" s="512"/>
      <c r="B49" s="85"/>
      <c r="C49" s="86"/>
      <c r="D49" s="87"/>
      <c r="E49" s="300"/>
      <c r="F49" s="283"/>
      <c r="G49" s="62"/>
      <c r="H49" s="63"/>
      <c r="I49" s="64"/>
      <c r="K49" s="6"/>
      <c r="L49" s="60"/>
      <c r="M49" s="60"/>
    </row>
    <row r="50" spans="1:13">
      <c r="A50" s="503" t="s">
        <v>138</v>
      </c>
      <c r="B50" s="275" t="s">
        <v>35</v>
      </c>
      <c r="C50" s="293">
        <v>8.1</v>
      </c>
      <c r="D50" s="105">
        <v>59.7</v>
      </c>
      <c r="E50" s="256">
        <f>F50*60*0.53</f>
        <v>73.14</v>
      </c>
      <c r="F50" s="79">
        <v>2.2999999999999998</v>
      </c>
      <c r="G50" s="38">
        <v>5</v>
      </c>
      <c r="H50" s="39">
        <f t="shared" si="3"/>
        <v>18.89165707921104</v>
      </c>
      <c r="I50" s="40">
        <v>0.53</v>
      </c>
      <c r="K50" s="6"/>
      <c r="L50" s="60"/>
      <c r="M50" s="60"/>
    </row>
    <row r="51" spans="1:13">
      <c r="A51" s="504"/>
      <c r="B51" s="80" t="s">
        <v>36</v>
      </c>
      <c r="C51" s="81">
        <v>8.5</v>
      </c>
      <c r="D51" s="82">
        <v>68.8</v>
      </c>
      <c r="E51" s="78">
        <f>F51*60*0.53</f>
        <v>82.68</v>
      </c>
      <c r="F51" s="260">
        <v>2.6</v>
      </c>
      <c r="G51" s="43">
        <v>5</v>
      </c>
      <c r="H51" s="44">
        <f t="shared" si="3"/>
        <v>21.771289900330309</v>
      </c>
      <c r="I51" s="45">
        <v>0.53</v>
      </c>
      <c r="K51" s="6"/>
      <c r="L51" s="60"/>
      <c r="M51" s="60"/>
    </row>
    <row r="52" spans="1:13">
      <c r="A52" s="504"/>
      <c r="B52" s="80" t="s">
        <v>37</v>
      </c>
      <c r="C52" s="81">
        <v>9.4</v>
      </c>
      <c r="D52" s="82">
        <v>77.599999999999994</v>
      </c>
      <c r="E52" s="78">
        <f t="shared" ref="E52:E60" si="5">F52*60*0.53</f>
        <v>95.4</v>
      </c>
      <c r="F52" s="260">
        <v>3</v>
      </c>
      <c r="G52" s="43">
        <v>5</v>
      </c>
      <c r="H52" s="44">
        <f t="shared" si="3"/>
        <v>24.555989771302791</v>
      </c>
      <c r="I52" s="45">
        <v>0.53</v>
      </c>
      <c r="K52" s="6"/>
      <c r="L52" s="60"/>
      <c r="M52" s="60"/>
    </row>
    <row r="53" spans="1:13">
      <c r="A53" s="504"/>
      <c r="B53" s="80" t="s">
        <v>38</v>
      </c>
      <c r="C53" s="81">
        <v>14</v>
      </c>
      <c r="D53" s="82">
        <v>119</v>
      </c>
      <c r="E53" s="78">
        <f t="shared" si="5"/>
        <v>120.84</v>
      </c>
      <c r="F53" s="260">
        <v>3.8</v>
      </c>
      <c r="G53" s="43">
        <v>5</v>
      </c>
      <c r="H53" s="44">
        <f t="shared" si="3"/>
        <v>37.656736891559689</v>
      </c>
      <c r="I53" s="45">
        <v>0.53</v>
      </c>
      <c r="K53" s="6"/>
      <c r="L53" s="60"/>
      <c r="M53" s="60"/>
    </row>
    <row r="54" spans="1:13">
      <c r="A54" s="504"/>
      <c r="B54" s="287" t="s">
        <v>39</v>
      </c>
      <c r="C54" s="288">
        <v>19.2</v>
      </c>
      <c r="D54" s="263">
        <v>127</v>
      </c>
      <c r="E54" s="264">
        <f t="shared" si="5"/>
        <v>127.2</v>
      </c>
      <c r="F54" s="265">
        <v>4</v>
      </c>
      <c r="G54" s="49">
        <v>5</v>
      </c>
      <c r="H54" s="50">
        <f t="shared" si="3"/>
        <v>40.188282228807402</v>
      </c>
      <c r="I54" s="51">
        <v>0.53</v>
      </c>
      <c r="K54" s="6"/>
      <c r="L54" s="60"/>
      <c r="M54" s="60"/>
    </row>
    <row r="55" spans="1:13">
      <c r="A55" s="504"/>
      <c r="B55" s="289" t="s">
        <v>40</v>
      </c>
      <c r="C55" s="290">
        <v>24</v>
      </c>
      <c r="D55" s="123">
        <v>187</v>
      </c>
      <c r="E55" s="268">
        <f t="shared" si="5"/>
        <v>219.42000000000002</v>
      </c>
      <c r="F55" s="269">
        <v>6.9</v>
      </c>
      <c r="G55" s="53">
        <v>5</v>
      </c>
      <c r="H55" s="198">
        <f t="shared" si="3"/>
        <v>59.17487225816523</v>
      </c>
      <c r="I55" s="199">
        <v>0.53</v>
      </c>
      <c r="J55" s="54" t="s">
        <v>17</v>
      </c>
      <c r="K55" s="6"/>
      <c r="L55" s="60"/>
      <c r="M55" s="60"/>
    </row>
    <row r="56" spans="1:13">
      <c r="A56" s="504"/>
      <c r="B56" s="80" t="s">
        <v>41</v>
      </c>
      <c r="C56" s="81">
        <v>29.8</v>
      </c>
      <c r="D56" s="82">
        <v>197</v>
      </c>
      <c r="E56" s="78">
        <f t="shared" si="5"/>
        <v>265.21199999999999</v>
      </c>
      <c r="F56" s="260">
        <v>8.34</v>
      </c>
      <c r="G56" s="43">
        <v>5</v>
      </c>
      <c r="H56" s="44">
        <f t="shared" si="3"/>
        <v>62.339303929724871</v>
      </c>
      <c r="I56" s="45">
        <v>0.53</v>
      </c>
      <c r="K56" s="6"/>
      <c r="L56" s="60"/>
      <c r="M56" s="60"/>
    </row>
    <row r="57" spans="1:13">
      <c r="A57" s="504"/>
      <c r="B57" s="80" t="s">
        <v>42</v>
      </c>
      <c r="C57" s="81">
        <v>40</v>
      </c>
      <c r="D57" s="82">
        <v>296</v>
      </c>
      <c r="E57" s="78">
        <f t="shared" si="5"/>
        <v>327.54000000000002</v>
      </c>
      <c r="F57" s="260">
        <v>10.3</v>
      </c>
      <c r="G57" s="43">
        <v>5</v>
      </c>
      <c r="H57" s="44">
        <f t="shared" si="3"/>
        <v>93.667177478165286</v>
      </c>
      <c r="I57" s="45">
        <v>0.53</v>
      </c>
      <c r="K57" s="6"/>
      <c r="L57" s="60"/>
      <c r="M57" s="60"/>
    </row>
    <row r="58" spans="1:13">
      <c r="A58" s="504"/>
      <c r="B58" s="80" t="s">
        <v>43</v>
      </c>
      <c r="C58" s="81">
        <v>50</v>
      </c>
      <c r="D58" s="82">
        <v>337</v>
      </c>
      <c r="E58" s="78">
        <f t="shared" si="5"/>
        <v>429.3</v>
      </c>
      <c r="F58" s="260">
        <v>13.5</v>
      </c>
      <c r="G58" s="43">
        <v>5</v>
      </c>
      <c r="H58" s="44">
        <f t="shared" si="3"/>
        <v>106.6413473315598</v>
      </c>
      <c r="I58" s="45">
        <v>0.53</v>
      </c>
      <c r="K58" s="6"/>
      <c r="L58" s="60"/>
      <c r="M58" s="60"/>
    </row>
    <row r="59" spans="1:13">
      <c r="A59" s="504"/>
      <c r="B59" s="80" t="s">
        <v>44</v>
      </c>
      <c r="C59" s="81">
        <v>70.2</v>
      </c>
      <c r="D59" s="82">
        <v>449</v>
      </c>
      <c r="E59" s="78">
        <f t="shared" si="5"/>
        <v>699.6</v>
      </c>
      <c r="F59" s="260">
        <v>22</v>
      </c>
      <c r="G59" s="43">
        <v>5</v>
      </c>
      <c r="H59" s="44">
        <f t="shared" si="3"/>
        <v>142.08298205302773</v>
      </c>
      <c r="I59" s="45">
        <v>0.53</v>
      </c>
      <c r="K59" s="6"/>
      <c r="L59" s="60"/>
      <c r="M59" s="60"/>
    </row>
    <row r="60" spans="1:13" ht="15.6" thickBot="1">
      <c r="A60" s="506"/>
      <c r="B60" s="85" t="s">
        <v>45</v>
      </c>
      <c r="C60" s="86">
        <v>106.8</v>
      </c>
      <c r="D60" s="87">
        <v>757</v>
      </c>
      <c r="E60" s="280">
        <f t="shared" si="5"/>
        <v>864.96</v>
      </c>
      <c r="F60" s="283">
        <v>27.2</v>
      </c>
      <c r="G60" s="62">
        <v>5</v>
      </c>
      <c r="H60" s="63">
        <f t="shared" si="3"/>
        <v>239.54747753706462</v>
      </c>
      <c r="I60" s="64">
        <v>0.53</v>
      </c>
      <c r="K60" s="6"/>
      <c r="L60" s="60"/>
      <c r="M60" s="60"/>
    </row>
    <row r="61" spans="1:13">
      <c r="A61" s="509" t="s">
        <v>139</v>
      </c>
      <c r="B61" s="284">
        <v>120</v>
      </c>
      <c r="C61" s="285">
        <v>15.9</v>
      </c>
      <c r="D61" s="112">
        <v>97</v>
      </c>
      <c r="E61" s="301">
        <f>F61*0.53*D61</f>
        <v>190.21700000000004</v>
      </c>
      <c r="F61" s="302">
        <v>3.7</v>
      </c>
      <c r="G61" s="70">
        <v>5</v>
      </c>
      <c r="H61" s="71">
        <f t="shared" si="3"/>
        <v>30.694987214128489</v>
      </c>
      <c r="I61" s="72">
        <v>0.53</v>
      </c>
      <c r="K61" s="6"/>
      <c r="L61" s="60"/>
      <c r="M61" s="60"/>
    </row>
    <row r="62" spans="1:13">
      <c r="A62" s="504"/>
      <c r="B62" s="80">
        <v>140</v>
      </c>
      <c r="C62" s="81">
        <v>19.3</v>
      </c>
      <c r="D62" s="82">
        <v>133</v>
      </c>
      <c r="E62" s="83">
        <f>F62*0.53*D62</f>
        <v>260.81300000000005</v>
      </c>
      <c r="F62" s="84">
        <v>3.7</v>
      </c>
      <c r="G62" s="43">
        <v>5</v>
      </c>
      <c r="H62" s="44">
        <f t="shared" si="3"/>
        <v>42.086941231743189</v>
      </c>
      <c r="I62" s="45">
        <v>0.53</v>
      </c>
      <c r="K62" s="6"/>
      <c r="L62" s="60"/>
      <c r="M62" s="60"/>
    </row>
    <row r="63" spans="1:13">
      <c r="A63" s="504"/>
      <c r="B63" s="80">
        <v>150</v>
      </c>
      <c r="C63" s="81">
        <v>19.899999999999999</v>
      </c>
      <c r="D63" s="82">
        <v>149</v>
      </c>
      <c r="E63" s="83">
        <f t="shared" ref="E63:E70" si="6">F63*0.53*D63</f>
        <v>292.18900000000002</v>
      </c>
      <c r="F63" s="84">
        <v>3.7</v>
      </c>
      <c r="G63" s="43">
        <v>5</v>
      </c>
      <c r="H63" s="44">
        <f t="shared" si="3"/>
        <v>47.150031906238603</v>
      </c>
      <c r="I63" s="45">
        <v>0.53</v>
      </c>
      <c r="K63" s="6"/>
      <c r="L63" s="60"/>
      <c r="M63" s="60"/>
    </row>
    <row r="64" spans="1:13">
      <c r="A64" s="504"/>
      <c r="B64" s="80">
        <v>160</v>
      </c>
      <c r="C64" s="81">
        <v>20.7</v>
      </c>
      <c r="D64" s="82">
        <v>165</v>
      </c>
      <c r="E64" s="83">
        <f t="shared" si="6"/>
        <v>367.29000000000008</v>
      </c>
      <c r="F64" s="84">
        <v>4.2</v>
      </c>
      <c r="G64" s="43">
        <v>5</v>
      </c>
      <c r="H64" s="44">
        <f t="shared" si="3"/>
        <v>52.21312258073403</v>
      </c>
      <c r="I64" s="45">
        <v>0.53</v>
      </c>
      <c r="K64" s="6"/>
      <c r="L64" s="60"/>
      <c r="M64" s="60"/>
    </row>
    <row r="65" spans="1:20">
      <c r="A65" s="504"/>
      <c r="B65" s="80">
        <v>14</v>
      </c>
      <c r="C65" s="81">
        <v>26</v>
      </c>
      <c r="D65" s="82">
        <v>178</v>
      </c>
      <c r="E65" s="83">
        <f t="shared" si="6"/>
        <v>405.66199999999998</v>
      </c>
      <c r="F65" s="84">
        <v>4.3</v>
      </c>
      <c r="G65" s="43">
        <v>5</v>
      </c>
      <c r="H65" s="44">
        <f t="shared" si="3"/>
        <v>56.326883753761557</v>
      </c>
      <c r="I65" s="45">
        <v>0.53</v>
      </c>
      <c r="K65" s="6"/>
      <c r="L65" s="60"/>
      <c r="M65" s="60"/>
    </row>
    <row r="66" spans="1:20">
      <c r="A66" s="504"/>
      <c r="B66" s="80">
        <v>16</v>
      </c>
      <c r="C66" s="81">
        <v>32.4</v>
      </c>
      <c r="D66" s="82">
        <v>216</v>
      </c>
      <c r="E66" s="83">
        <f t="shared" si="6"/>
        <v>560.95200000000011</v>
      </c>
      <c r="F66" s="84">
        <v>4.9000000000000004</v>
      </c>
      <c r="G66" s="43">
        <v>5</v>
      </c>
      <c r="H66" s="44">
        <f t="shared" si="3"/>
        <v>68.351724105688177</v>
      </c>
      <c r="I66" s="45">
        <v>0.53</v>
      </c>
      <c r="K66" s="6"/>
      <c r="L66" s="60"/>
      <c r="M66" s="60"/>
    </row>
    <row r="67" spans="1:20">
      <c r="A67" s="504"/>
      <c r="B67" s="80">
        <v>18</v>
      </c>
      <c r="C67" s="81">
        <v>33.700000000000003</v>
      </c>
      <c r="D67" s="82">
        <v>227</v>
      </c>
      <c r="E67" s="83">
        <f t="shared" si="6"/>
        <v>661.70500000000004</v>
      </c>
      <c r="F67" s="84">
        <v>5.5</v>
      </c>
      <c r="G67" s="43">
        <v>5</v>
      </c>
      <c r="H67" s="44">
        <f t="shared" si="3"/>
        <v>71.832598944403784</v>
      </c>
      <c r="I67" s="45">
        <v>0.53</v>
      </c>
      <c r="K67" s="6"/>
      <c r="L67" s="60"/>
      <c r="M67" s="60"/>
      <c r="N67" s="77"/>
    </row>
    <row r="68" spans="1:20">
      <c r="A68" s="504"/>
      <c r="B68" s="80">
        <v>24</v>
      </c>
      <c r="C68" s="81">
        <v>75</v>
      </c>
      <c r="D68" s="82">
        <v>399</v>
      </c>
      <c r="E68" s="83">
        <f t="shared" si="6"/>
        <v>1543.731</v>
      </c>
      <c r="F68" s="84">
        <v>7.3</v>
      </c>
      <c r="G68" s="43">
        <v>5</v>
      </c>
      <c r="H68" s="44">
        <f t="shared" ref="H68:H97" si="7">D68*I68*(0.6957*G68^-0.095)</f>
        <v>126.26082369522955</v>
      </c>
      <c r="I68" s="45">
        <v>0.53</v>
      </c>
      <c r="K68" s="6"/>
      <c r="L68" s="60"/>
      <c r="M68" s="60"/>
    </row>
    <row r="69" spans="1:20">
      <c r="A69" s="504"/>
      <c r="B69" s="80">
        <v>620</v>
      </c>
      <c r="C69" s="81">
        <v>15.7</v>
      </c>
      <c r="D69" s="82">
        <v>160</v>
      </c>
      <c r="E69" s="83">
        <f t="shared" si="6"/>
        <v>313.76000000000005</v>
      </c>
      <c r="F69" s="84">
        <v>3.7</v>
      </c>
      <c r="G69" s="43">
        <v>5</v>
      </c>
      <c r="H69" s="44">
        <f t="shared" si="7"/>
        <v>50.630906744954217</v>
      </c>
      <c r="I69" s="45">
        <v>0.53</v>
      </c>
      <c r="K69" s="6"/>
      <c r="L69" s="60"/>
      <c r="M69" s="60"/>
    </row>
    <row r="70" spans="1:20" ht="15.6" thickBot="1">
      <c r="A70" s="506"/>
      <c r="B70" s="85">
        <v>672</v>
      </c>
      <c r="C70" s="86">
        <v>22.4</v>
      </c>
      <c r="D70" s="87">
        <v>190</v>
      </c>
      <c r="E70" s="88">
        <f t="shared" si="6"/>
        <v>422.94000000000005</v>
      </c>
      <c r="F70" s="89">
        <v>4.2</v>
      </c>
      <c r="G70" s="62">
        <v>5</v>
      </c>
      <c r="H70" s="44">
        <f t="shared" si="7"/>
        <v>60.124201759633124</v>
      </c>
      <c r="I70" s="64">
        <v>0.53</v>
      </c>
      <c r="K70" s="6"/>
      <c r="L70" s="90"/>
      <c r="M70" s="60"/>
    </row>
    <row r="71" spans="1:20">
      <c r="A71" s="509" t="s">
        <v>140</v>
      </c>
      <c r="B71" s="284" t="s">
        <v>46</v>
      </c>
      <c r="C71" s="285">
        <v>4.7</v>
      </c>
      <c r="D71" s="112">
        <v>55.6</v>
      </c>
      <c r="E71" s="301">
        <f>D71*0.53*F71*2</f>
        <v>76.616800000000012</v>
      </c>
      <c r="F71" s="302">
        <v>1.3</v>
      </c>
      <c r="G71" s="91">
        <v>5</v>
      </c>
      <c r="H71" s="44">
        <f t="shared" si="7"/>
        <v>17.594240093871591</v>
      </c>
      <c r="I71" s="72">
        <v>0.53</v>
      </c>
      <c r="K71" s="6"/>
      <c r="L71" s="90"/>
      <c r="M71" s="60"/>
    </row>
    <row r="72" spans="1:20">
      <c r="A72" s="504"/>
      <c r="B72" s="80" t="s">
        <v>47</v>
      </c>
      <c r="C72" s="81">
        <v>7.7</v>
      </c>
      <c r="D72" s="82">
        <v>74.400000000000006</v>
      </c>
      <c r="E72" s="301">
        <f t="shared" ref="E72:E78" si="8">D72*0.53*F72*2</f>
        <v>134.06880000000001</v>
      </c>
      <c r="F72" s="84">
        <v>1.7</v>
      </c>
      <c r="G72" s="57">
        <v>5</v>
      </c>
      <c r="H72" s="44">
        <f t="shared" si="7"/>
        <v>23.543371636403709</v>
      </c>
      <c r="I72" s="45">
        <v>0.53</v>
      </c>
      <c r="K72" s="6"/>
      <c r="L72" s="90"/>
      <c r="M72" s="60"/>
    </row>
    <row r="73" spans="1:20">
      <c r="A73" s="504"/>
      <c r="B73" s="80" t="s">
        <v>48</v>
      </c>
      <c r="C73" s="81">
        <v>10.5</v>
      </c>
      <c r="D73" s="82">
        <v>92</v>
      </c>
      <c r="E73" s="301">
        <f t="shared" si="8"/>
        <v>214.54400000000004</v>
      </c>
      <c r="F73" s="84">
        <v>2.2000000000000002</v>
      </c>
      <c r="G73" s="57">
        <v>5</v>
      </c>
      <c r="H73" s="44">
        <f t="shared" si="7"/>
        <v>29.112771378348672</v>
      </c>
      <c r="I73" s="45">
        <v>0.53</v>
      </c>
      <c r="K73" s="6"/>
      <c r="L73" s="90"/>
      <c r="M73" s="60"/>
    </row>
    <row r="74" spans="1:20">
      <c r="A74" s="504"/>
      <c r="B74" s="80" t="s">
        <v>49</v>
      </c>
      <c r="C74" s="81">
        <v>11.2</v>
      </c>
      <c r="D74" s="82">
        <v>91.7</v>
      </c>
      <c r="E74" s="301">
        <f t="shared" si="8"/>
        <v>204.12420000000003</v>
      </c>
      <c r="F74" s="84">
        <v>2.1</v>
      </c>
      <c r="G74" s="57">
        <v>5</v>
      </c>
      <c r="H74" s="44">
        <f t="shared" si="7"/>
        <v>29.017838428201884</v>
      </c>
      <c r="I74" s="45">
        <v>0.53</v>
      </c>
      <c r="K74" s="6"/>
      <c r="L74" s="90"/>
      <c r="M74" s="60"/>
    </row>
    <row r="75" spans="1:20">
      <c r="A75" s="504"/>
      <c r="B75" s="80" t="s">
        <v>50</v>
      </c>
      <c r="C75" s="81">
        <v>11.5</v>
      </c>
      <c r="D75" s="82">
        <v>119</v>
      </c>
      <c r="E75" s="301">
        <f t="shared" si="8"/>
        <v>264.89400000000001</v>
      </c>
      <c r="F75" s="84">
        <v>2.1</v>
      </c>
      <c r="G75" s="57">
        <v>5</v>
      </c>
      <c r="H75" s="44">
        <f t="shared" si="7"/>
        <v>37.656736891559689</v>
      </c>
      <c r="I75" s="45">
        <v>0.53</v>
      </c>
      <c r="K75" s="6"/>
      <c r="L75" s="92"/>
      <c r="M75" s="92"/>
    </row>
    <row r="76" spans="1:20">
      <c r="A76" s="504"/>
      <c r="B76" s="287" t="s">
        <v>51</v>
      </c>
      <c r="C76" s="288">
        <v>14.6</v>
      </c>
      <c r="D76" s="263">
        <v>119</v>
      </c>
      <c r="E76" s="303">
        <f t="shared" si="8"/>
        <v>264.89400000000001</v>
      </c>
      <c r="F76" s="304">
        <v>2.1</v>
      </c>
      <c r="G76" s="93">
        <v>5</v>
      </c>
      <c r="H76" s="50">
        <f t="shared" si="7"/>
        <v>37.656736891559689</v>
      </c>
      <c r="I76" s="51">
        <v>0.53</v>
      </c>
      <c r="K76" s="6"/>
      <c r="L76" s="92"/>
      <c r="M76" s="60"/>
    </row>
    <row r="77" spans="1:20">
      <c r="A77" s="504"/>
      <c r="B77" s="80" t="s">
        <v>52</v>
      </c>
      <c r="C77" s="81">
        <v>16.100000000000001</v>
      </c>
      <c r="D77" s="82">
        <v>131</v>
      </c>
      <c r="E77" s="301">
        <f t="shared" si="8"/>
        <v>291.60600000000005</v>
      </c>
      <c r="F77" s="84">
        <v>2.1</v>
      </c>
      <c r="G77" s="57">
        <v>5</v>
      </c>
      <c r="H77" s="44">
        <f t="shared" si="7"/>
        <v>41.454054897431263</v>
      </c>
      <c r="I77" s="45">
        <v>0.53</v>
      </c>
      <c r="K77" s="6"/>
      <c r="L77" s="92"/>
      <c r="M77" s="60"/>
    </row>
    <row r="78" spans="1:20" ht="15.6" thickBot="1">
      <c r="A78" s="505"/>
      <c r="B78" s="291" t="s">
        <v>53</v>
      </c>
      <c r="C78" s="292">
        <v>18.899999999999999</v>
      </c>
      <c r="D78" s="116">
        <v>131</v>
      </c>
      <c r="E78" s="301">
        <f t="shared" si="8"/>
        <v>291.60600000000005</v>
      </c>
      <c r="F78" s="305">
        <v>2.1</v>
      </c>
      <c r="G78" s="57">
        <v>5</v>
      </c>
      <c r="H78" s="58">
        <f t="shared" si="7"/>
        <v>41.454054897431263</v>
      </c>
      <c r="I78" s="59">
        <v>0.53</v>
      </c>
      <c r="K78" s="6"/>
      <c r="L78" s="92"/>
      <c r="M78" s="60"/>
      <c r="O78" s="94"/>
      <c r="P78" s="94"/>
      <c r="Q78" s="94"/>
      <c r="R78" s="94"/>
      <c r="S78" s="94"/>
      <c r="T78" s="95"/>
    </row>
    <row r="79" spans="1:20">
      <c r="A79" s="503" t="s">
        <v>54</v>
      </c>
      <c r="B79" s="275" t="s">
        <v>55</v>
      </c>
      <c r="C79" s="293">
        <v>21.2</v>
      </c>
      <c r="D79" s="105">
        <v>256</v>
      </c>
      <c r="E79" s="306">
        <f t="shared" ref="E79:E83" si="9">D79*0.53*F79</f>
        <v>135.68</v>
      </c>
      <c r="F79" s="307">
        <v>1</v>
      </c>
      <c r="G79" s="38">
        <v>5</v>
      </c>
      <c r="H79" s="39">
        <f t="shared" si="7"/>
        <v>81.009450791926739</v>
      </c>
      <c r="I79" s="40">
        <v>0.53</v>
      </c>
      <c r="K79" s="6"/>
      <c r="L79" s="60"/>
      <c r="M79" s="60"/>
      <c r="O79" s="96"/>
      <c r="P79" s="97"/>
      <c r="Q79" s="98"/>
      <c r="R79" s="99"/>
      <c r="S79" s="100"/>
      <c r="T79" s="101"/>
    </row>
    <row r="80" spans="1:20">
      <c r="A80" s="504"/>
      <c r="B80" s="80" t="s">
        <v>56</v>
      </c>
      <c r="C80" s="81">
        <v>21.6</v>
      </c>
      <c r="D80" s="82">
        <v>256</v>
      </c>
      <c r="E80" s="83">
        <f t="shared" si="9"/>
        <v>176.38400000000001</v>
      </c>
      <c r="F80" s="84">
        <v>1.3</v>
      </c>
      <c r="G80" s="43">
        <v>5</v>
      </c>
      <c r="H80" s="44">
        <f t="shared" si="7"/>
        <v>81.009450791926739</v>
      </c>
      <c r="I80" s="45">
        <v>0.53</v>
      </c>
      <c r="K80" s="6"/>
      <c r="L80" s="60"/>
      <c r="M80" s="60"/>
      <c r="O80" s="96"/>
      <c r="P80" s="97"/>
      <c r="Q80" s="98"/>
      <c r="R80" s="99"/>
      <c r="S80" s="100"/>
      <c r="T80" s="101"/>
    </row>
    <row r="81" spans="1:22">
      <c r="A81" s="504"/>
      <c r="B81" s="287" t="s">
        <v>57</v>
      </c>
      <c r="C81" s="288">
        <v>31.5</v>
      </c>
      <c r="D81" s="263">
        <v>474</v>
      </c>
      <c r="E81" s="308">
        <f t="shared" si="9"/>
        <v>502.44</v>
      </c>
      <c r="F81" s="304">
        <v>2</v>
      </c>
      <c r="G81" s="49">
        <v>5</v>
      </c>
      <c r="H81" s="50">
        <f t="shared" si="7"/>
        <v>149.99406123192685</v>
      </c>
      <c r="I81" s="51">
        <v>0.53</v>
      </c>
      <c r="K81" s="6"/>
      <c r="L81" s="60"/>
      <c r="M81" s="60"/>
      <c r="O81" s="96"/>
      <c r="P81" s="97"/>
      <c r="Q81" s="98"/>
      <c r="R81" s="99"/>
      <c r="S81" s="100"/>
      <c r="T81" s="101"/>
    </row>
    <row r="82" spans="1:22">
      <c r="A82" s="504"/>
      <c r="B82" s="80" t="s">
        <v>58</v>
      </c>
      <c r="C82" s="81">
        <v>34.1</v>
      </c>
      <c r="D82" s="82">
        <v>601</v>
      </c>
      <c r="E82" s="83">
        <f t="shared" si="9"/>
        <v>637.06000000000006</v>
      </c>
      <c r="F82" s="84">
        <v>2</v>
      </c>
      <c r="G82" s="43">
        <v>5</v>
      </c>
      <c r="H82" s="44">
        <f t="shared" si="7"/>
        <v>190.18234346073424</v>
      </c>
      <c r="I82" s="45">
        <v>0.53</v>
      </c>
      <c r="K82" s="6"/>
      <c r="L82" s="60"/>
      <c r="M82" s="60"/>
      <c r="O82" s="96"/>
      <c r="P82" s="97"/>
      <c r="Q82" s="98"/>
      <c r="R82" s="99"/>
      <c r="S82" s="100"/>
      <c r="T82" s="101"/>
    </row>
    <row r="83" spans="1:22" ht="15.6" thickBot="1">
      <c r="A83" s="506"/>
      <c r="B83" s="85" t="s">
        <v>59</v>
      </c>
      <c r="C83" s="86">
        <v>34.6</v>
      </c>
      <c r="D83" s="87">
        <v>601</v>
      </c>
      <c r="E83" s="88">
        <f t="shared" si="9"/>
        <v>700.76600000000008</v>
      </c>
      <c r="F83" s="89">
        <v>2.2000000000000002</v>
      </c>
      <c r="G83" s="62">
        <v>5</v>
      </c>
      <c r="H83" s="63">
        <f t="shared" si="7"/>
        <v>190.18234346073424</v>
      </c>
      <c r="I83" s="64">
        <v>0.53</v>
      </c>
      <c r="K83" s="6"/>
      <c r="L83" s="60"/>
      <c r="M83" s="60"/>
      <c r="O83" s="96"/>
      <c r="P83" s="97"/>
      <c r="Q83" s="98"/>
      <c r="R83" s="99"/>
      <c r="S83" s="100"/>
      <c r="T83" s="101"/>
    </row>
    <row r="84" spans="1:22">
      <c r="A84" s="511" t="s">
        <v>141</v>
      </c>
      <c r="B84" s="275" t="s">
        <v>60</v>
      </c>
      <c r="C84" s="293">
        <v>26.2</v>
      </c>
      <c r="D84" s="105">
        <v>310</v>
      </c>
      <c r="E84" s="306">
        <f>D84*0.53*F84</f>
        <v>400.892</v>
      </c>
      <c r="F84" s="307">
        <v>2.44</v>
      </c>
      <c r="G84" s="38">
        <v>5</v>
      </c>
      <c r="H84" s="39">
        <f t="shared" si="7"/>
        <v>98.097381818348779</v>
      </c>
      <c r="I84" s="40">
        <v>0.53</v>
      </c>
      <c r="K84" s="6"/>
      <c r="L84" s="60"/>
      <c r="M84" s="60"/>
      <c r="O84" s="96"/>
      <c r="P84" s="97"/>
      <c r="Q84" s="98"/>
      <c r="R84" s="99"/>
      <c r="S84" s="100"/>
      <c r="T84" s="101"/>
    </row>
    <row r="85" spans="1:22">
      <c r="A85" s="510"/>
      <c r="B85" s="80" t="s">
        <v>61</v>
      </c>
      <c r="C85" s="81">
        <v>31.5</v>
      </c>
      <c r="D85" s="82">
        <v>407</v>
      </c>
      <c r="E85" s="83">
        <f>D85*0.53*F85</f>
        <v>526.33240000000001</v>
      </c>
      <c r="F85" s="84">
        <v>2.44</v>
      </c>
      <c r="G85" s="43">
        <v>5</v>
      </c>
      <c r="H85" s="44">
        <f t="shared" si="7"/>
        <v>128.79236903247727</v>
      </c>
      <c r="I85" s="45">
        <v>0.53</v>
      </c>
      <c r="K85" s="6"/>
      <c r="L85" s="60"/>
      <c r="M85" s="60"/>
      <c r="O85" s="96"/>
      <c r="P85" s="97"/>
      <c r="Q85" s="98"/>
      <c r="R85" s="99"/>
      <c r="S85" s="100"/>
      <c r="T85" s="101"/>
    </row>
    <row r="86" spans="1:22">
      <c r="A86" s="510"/>
      <c r="B86" s="80" t="s">
        <v>62</v>
      </c>
      <c r="C86" s="81">
        <v>36</v>
      </c>
      <c r="D86" s="82">
        <v>474</v>
      </c>
      <c r="E86" s="83">
        <f>D86*0.53*F86</f>
        <v>612.97680000000003</v>
      </c>
      <c r="F86" s="84">
        <v>2.44</v>
      </c>
      <c r="G86" s="43">
        <v>5</v>
      </c>
      <c r="H86" s="44">
        <f t="shared" si="7"/>
        <v>149.99406123192685</v>
      </c>
      <c r="I86" s="45">
        <v>0.53</v>
      </c>
      <c r="K86" s="6"/>
      <c r="L86" s="60"/>
      <c r="M86" s="60"/>
      <c r="O86" s="96"/>
      <c r="P86" s="97"/>
      <c r="Q86" s="98"/>
      <c r="R86" s="99"/>
      <c r="S86" s="100"/>
      <c r="T86" s="101"/>
    </row>
    <row r="87" spans="1:22">
      <c r="A87" s="510"/>
      <c r="B87" s="291" t="s">
        <v>63</v>
      </c>
      <c r="C87" s="292">
        <v>34.4</v>
      </c>
      <c r="D87" s="116">
        <v>568</v>
      </c>
      <c r="E87" s="309">
        <f>D87*0.53*F87</f>
        <v>734.5376</v>
      </c>
      <c r="F87" s="305">
        <v>2.44</v>
      </c>
      <c r="G87" s="57">
        <v>5</v>
      </c>
      <c r="H87" s="58">
        <f t="shared" si="7"/>
        <v>179.73971894458745</v>
      </c>
      <c r="I87" s="59">
        <v>0.53</v>
      </c>
      <c r="K87" s="6"/>
      <c r="L87" s="60"/>
      <c r="M87" s="60"/>
      <c r="O87" s="96"/>
      <c r="P87" s="97"/>
      <c r="Q87" s="98"/>
      <c r="R87" s="99"/>
      <c r="S87" s="100"/>
      <c r="T87" s="101"/>
    </row>
    <row r="88" spans="1:22">
      <c r="A88" s="510"/>
      <c r="B88" s="291" t="s">
        <v>64</v>
      </c>
      <c r="C88" s="292">
        <v>30.6</v>
      </c>
      <c r="D88" s="116">
        <v>455</v>
      </c>
      <c r="E88" s="309">
        <f t="shared" ref="E88:E89" si="10">D88*0.53*F88</f>
        <v>588.40599999999995</v>
      </c>
      <c r="F88" s="305">
        <v>2.44</v>
      </c>
      <c r="G88" s="57">
        <v>5</v>
      </c>
      <c r="H88" s="58">
        <f t="shared" si="7"/>
        <v>143.98164105596354</v>
      </c>
      <c r="I88" s="59">
        <v>0.53</v>
      </c>
      <c r="K88" s="6"/>
      <c r="L88" s="60"/>
      <c r="M88" s="60"/>
      <c r="O88" s="96"/>
      <c r="P88" s="97"/>
      <c r="Q88" s="98"/>
      <c r="R88" s="99"/>
      <c r="S88" s="100"/>
      <c r="T88" s="101"/>
    </row>
    <row r="89" spans="1:22">
      <c r="A89" s="510"/>
      <c r="B89" s="291" t="s">
        <v>65</v>
      </c>
      <c r="C89" s="292">
        <v>31.7</v>
      </c>
      <c r="D89" s="116">
        <v>563</v>
      </c>
      <c r="E89" s="309">
        <f t="shared" si="10"/>
        <v>716.13600000000008</v>
      </c>
      <c r="F89" s="305">
        <v>2.4</v>
      </c>
      <c r="G89" s="57">
        <v>5</v>
      </c>
      <c r="H89" s="58">
        <f t="shared" si="7"/>
        <v>178.15750310880765</v>
      </c>
      <c r="I89" s="59">
        <v>0.53</v>
      </c>
      <c r="K89" s="6"/>
      <c r="L89" s="60"/>
      <c r="M89" s="60"/>
      <c r="O89" s="96"/>
      <c r="P89" s="97"/>
      <c r="Q89" s="98"/>
      <c r="R89" s="99"/>
      <c r="S89" s="100"/>
      <c r="T89" s="101"/>
    </row>
    <row r="90" spans="1:22" ht="15.6" thickBot="1">
      <c r="A90" s="510"/>
      <c r="B90" s="291" t="s">
        <v>66</v>
      </c>
      <c r="C90" s="292">
        <v>3</v>
      </c>
      <c r="D90" s="116">
        <v>250</v>
      </c>
      <c r="E90" s="309">
        <f>D90*0.53*F90</f>
        <v>323.3</v>
      </c>
      <c r="F90" s="305">
        <v>2.44</v>
      </c>
      <c r="G90" s="57">
        <v>5</v>
      </c>
      <c r="H90" s="58">
        <f t="shared" si="7"/>
        <v>79.110791788990952</v>
      </c>
      <c r="I90" s="59">
        <v>0.53</v>
      </c>
      <c r="K90" s="6"/>
      <c r="L90" s="60"/>
      <c r="M90" s="60"/>
    </row>
    <row r="91" spans="1:22">
      <c r="A91" s="503" t="s">
        <v>67</v>
      </c>
      <c r="B91" s="275" t="s">
        <v>68</v>
      </c>
      <c r="C91" s="293">
        <v>4.8</v>
      </c>
      <c r="D91" s="105">
        <f>D149</f>
        <v>81</v>
      </c>
      <c r="E91" s="310">
        <f>D91/F91</f>
        <v>8.1</v>
      </c>
      <c r="F91" s="79">
        <v>10</v>
      </c>
      <c r="G91" s="38">
        <v>5</v>
      </c>
      <c r="H91" s="39">
        <f t="shared" si="7"/>
        <v>25.631896539633068</v>
      </c>
      <c r="I91" s="40">
        <v>0.53</v>
      </c>
      <c r="K91" s="6"/>
      <c r="L91" s="98"/>
      <c r="M91" s="60"/>
    </row>
    <row r="92" spans="1:22">
      <c r="A92" s="504"/>
      <c r="B92" s="80" t="s">
        <v>69</v>
      </c>
      <c r="C92" s="81">
        <v>6.2</v>
      </c>
      <c r="D92" s="82">
        <f>D150</f>
        <v>174.98138495904692</v>
      </c>
      <c r="E92" s="311">
        <f>D92/F92</f>
        <v>14.581782079920577</v>
      </c>
      <c r="F92" s="260">
        <v>12</v>
      </c>
      <c r="G92" s="43">
        <v>5</v>
      </c>
      <c r="H92" s="44">
        <f t="shared" si="7"/>
        <v>55.371663649777737</v>
      </c>
      <c r="I92" s="45">
        <v>0.53</v>
      </c>
      <c r="K92" s="6"/>
      <c r="L92" s="98"/>
      <c r="M92" s="60"/>
    </row>
    <row r="93" spans="1:22" ht="15.6" thickBot="1">
      <c r="A93" s="506"/>
      <c r="B93" s="312" t="s">
        <v>70</v>
      </c>
      <c r="C93" s="313">
        <v>8.4</v>
      </c>
      <c r="D93" s="314">
        <f>D153</f>
        <v>223.38049143708116</v>
      </c>
      <c r="E93" s="315">
        <f>D93/F93</f>
        <v>12.410027302060065</v>
      </c>
      <c r="F93" s="316">
        <v>18</v>
      </c>
      <c r="G93" s="102">
        <v>5</v>
      </c>
      <c r="H93" s="103">
        <f t="shared" si="7"/>
        <v>70.687230191205614</v>
      </c>
      <c r="I93" s="104">
        <v>0.53</v>
      </c>
      <c r="K93" s="6"/>
      <c r="M93" s="98"/>
      <c r="N93" s="32"/>
    </row>
    <row r="94" spans="1:22">
      <c r="A94" s="503" t="s">
        <v>71</v>
      </c>
      <c r="B94" s="275" t="s">
        <v>72</v>
      </c>
      <c r="C94" s="293">
        <v>33.35</v>
      </c>
      <c r="D94" s="105">
        <v>257</v>
      </c>
      <c r="E94" s="317">
        <f>D94*0.25</f>
        <v>64.25</v>
      </c>
      <c r="F94" s="318">
        <v>5</v>
      </c>
      <c r="G94" s="38">
        <v>5</v>
      </c>
      <c r="H94" s="39">
        <f t="shared" si="7"/>
        <v>81.325893959082705</v>
      </c>
      <c r="I94" s="40">
        <v>0.53</v>
      </c>
      <c r="K94" s="6"/>
      <c r="L94" s="60"/>
      <c r="M94" s="106"/>
      <c r="O94" s="33"/>
      <c r="P94" s="107"/>
      <c r="Q94" s="108"/>
      <c r="R94" s="77"/>
      <c r="S94" s="109"/>
      <c r="T94" s="95"/>
      <c r="U94" s="110"/>
      <c r="V94" s="111"/>
    </row>
    <row r="95" spans="1:22" ht="15.6">
      <c r="A95" s="509"/>
      <c r="B95" s="284" t="s">
        <v>73</v>
      </c>
      <c r="C95" s="319">
        <v>51.1</v>
      </c>
      <c r="D95" s="112">
        <v>328</v>
      </c>
      <c r="E95" s="298">
        <f>D95*0.25</f>
        <v>82</v>
      </c>
      <c r="F95" s="320">
        <v>5</v>
      </c>
      <c r="G95" s="70">
        <v>5</v>
      </c>
      <c r="H95" s="44">
        <f t="shared" si="7"/>
        <v>103.79335882715613</v>
      </c>
      <c r="I95" s="72">
        <v>0.53</v>
      </c>
      <c r="K95" s="6"/>
      <c r="L95" s="77"/>
      <c r="M95" s="60"/>
      <c r="O95" s="33"/>
      <c r="P95" s="107"/>
      <c r="Q95" s="108"/>
      <c r="R95" s="33"/>
      <c r="S95" s="109"/>
      <c r="T95" s="95"/>
      <c r="U95" s="110"/>
      <c r="V95" s="111"/>
    </row>
    <row r="96" spans="1:22">
      <c r="A96" s="509"/>
      <c r="B96" s="284" t="s">
        <v>74</v>
      </c>
      <c r="C96" s="285">
        <v>61</v>
      </c>
      <c r="D96" s="112">
        <v>571</v>
      </c>
      <c r="E96" s="298">
        <f t="shared" ref="E96:E104" si="11">D96*0.25</f>
        <v>142.75</v>
      </c>
      <c r="F96" s="286">
        <v>8</v>
      </c>
      <c r="G96" s="70">
        <v>5</v>
      </c>
      <c r="H96" s="44">
        <f t="shared" si="7"/>
        <v>180.68904844605532</v>
      </c>
      <c r="I96" s="72">
        <v>0.53</v>
      </c>
      <c r="K96" s="6"/>
      <c r="L96" s="41"/>
      <c r="M96" s="60"/>
      <c r="O96" s="33"/>
      <c r="P96" s="107"/>
      <c r="Q96" s="108"/>
      <c r="R96" s="33"/>
      <c r="S96" s="109"/>
      <c r="T96" s="95"/>
      <c r="U96" s="110"/>
      <c r="V96" s="111"/>
    </row>
    <row r="97" spans="1:22">
      <c r="A97" s="509"/>
      <c r="B97" s="321" t="s">
        <v>75</v>
      </c>
      <c r="C97" s="322">
        <v>48.7</v>
      </c>
      <c r="D97" s="113">
        <v>403</v>
      </c>
      <c r="E97" s="323">
        <f t="shared" si="11"/>
        <v>100.75</v>
      </c>
      <c r="F97" s="324">
        <v>6</v>
      </c>
      <c r="G97" s="114">
        <v>5</v>
      </c>
      <c r="H97" s="198">
        <f t="shared" si="7"/>
        <v>127.52659636385341</v>
      </c>
      <c r="I97" s="200">
        <v>0.53</v>
      </c>
      <c r="J97" s="54" t="s">
        <v>17</v>
      </c>
      <c r="K97" s="6"/>
      <c r="L97" s="41"/>
      <c r="M97" s="60"/>
      <c r="O97" s="33"/>
      <c r="P97" s="107"/>
      <c r="Q97" s="108"/>
      <c r="R97" s="33"/>
      <c r="S97" s="109"/>
      <c r="T97" s="95"/>
      <c r="U97" s="110"/>
      <c r="V97" s="111"/>
    </row>
    <row r="98" spans="1:22">
      <c r="A98" s="509"/>
      <c r="B98" s="284" t="s">
        <v>76</v>
      </c>
      <c r="C98" s="285">
        <v>35.4</v>
      </c>
      <c r="D98" s="112">
        <v>205</v>
      </c>
      <c r="E98" s="298">
        <f t="shared" si="11"/>
        <v>51.25</v>
      </c>
      <c r="F98" s="320">
        <v>5</v>
      </c>
      <c r="G98" s="70">
        <v>5</v>
      </c>
      <c r="H98" s="44">
        <f>D98*I98*(0.6957*G98^-0.095)</f>
        <v>64.870849266972584</v>
      </c>
      <c r="I98" s="72">
        <v>0.53</v>
      </c>
      <c r="K98" s="6"/>
      <c r="L98" s="41"/>
      <c r="M98" s="60"/>
      <c r="O98" s="33"/>
      <c r="P98" s="107"/>
      <c r="Q98" s="108"/>
      <c r="R98" s="33"/>
      <c r="S98" s="109"/>
      <c r="T98" s="95"/>
      <c r="U98" s="110"/>
      <c r="V98" s="111"/>
    </row>
    <row r="99" spans="1:22">
      <c r="A99" s="509"/>
      <c r="B99" s="284" t="s">
        <v>77</v>
      </c>
      <c r="C99" s="325">
        <v>54.3</v>
      </c>
      <c r="D99" s="82">
        <v>257</v>
      </c>
      <c r="E99" s="298">
        <f t="shared" si="11"/>
        <v>64.25</v>
      </c>
      <c r="F99" s="326">
        <v>9</v>
      </c>
      <c r="G99" s="91">
        <v>5</v>
      </c>
      <c r="H99" s="44">
        <f>D99*I99*(0.6957*G99^-0.095)</f>
        <v>81.325893959082705</v>
      </c>
      <c r="I99" s="115">
        <v>0.53</v>
      </c>
      <c r="K99" s="6"/>
      <c r="L99" s="41"/>
      <c r="M99" s="60"/>
      <c r="O99" s="33"/>
      <c r="P99" s="107"/>
      <c r="Q99" s="108"/>
      <c r="R99" s="33"/>
      <c r="S99" s="109"/>
      <c r="T99" s="95"/>
      <c r="U99" s="110"/>
      <c r="V99" s="111"/>
    </row>
    <row r="100" spans="1:22" ht="16.2" thickBot="1">
      <c r="A100" s="509"/>
      <c r="B100" s="291" t="s">
        <v>78</v>
      </c>
      <c r="C100" s="327">
        <v>79.45</v>
      </c>
      <c r="D100" s="116">
        <v>331</v>
      </c>
      <c r="E100" s="328">
        <f t="shared" si="11"/>
        <v>82.75</v>
      </c>
      <c r="F100" s="329">
        <v>10</v>
      </c>
      <c r="G100" s="57">
        <v>5</v>
      </c>
      <c r="H100" s="58">
        <f t="shared" ref="H100:H109" si="12">D100*I100*(0.6957*G100^-0.095)</f>
        <v>104.74268832862403</v>
      </c>
      <c r="I100" s="59">
        <v>0.53</v>
      </c>
      <c r="K100" s="6"/>
      <c r="L100" s="41"/>
      <c r="M100" s="60"/>
      <c r="O100" s="33"/>
      <c r="P100" s="107"/>
      <c r="Q100" s="108"/>
      <c r="R100" s="33"/>
      <c r="S100" s="109"/>
      <c r="T100" s="95"/>
      <c r="U100" s="110"/>
      <c r="V100" s="111"/>
    </row>
    <row r="101" spans="1:22">
      <c r="A101" s="513"/>
      <c r="B101" s="330" t="s">
        <v>79</v>
      </c>
      <c r="C101" s="293">
        <v>36.9</v>
      </c>
      <c r="D101" s="105">
        <v>187</v>
      </c>
      <c r="E101" s="310">
        <f t="shared" si="11"/>
        <v>46.75</v>
      </c>
      <c r="F101" s="318"/>
      <c r="G101" s="38">
        <v>5</v>
      </c>
      <c r="H101" s="39">
        <f t="shared" si="12"/>
        <v>59.17487225816523</v>
      </c>
      <c r="I101" s="40">
        <v>0.53</v>
      </c>
      <c r="K101" s="6"/>
      <c r="L101" s="41"/>
      <c r="M101" s="60"/>
      <c r="O101" s="117"/>
      <c r="P101" s="107"/>
      <c r="Q101" s="108"/>
      <c r="R101" s="33"/>
      <c r="S101" s="109"/>
      <c r="T101" s="95"/>
      <c r="U101" s="110"/>
      <c r="V101" s="111"/>
    </row>
    <row r="102" spans="1:22" ht="15.6" thickBot="1">
      <c r="A102" s="514"/>
      <c r="B102" s="331" t="s">
        <v>80</v>
      </c>
      <c r="C102" s="86">
        <v>58.7</v>
      </c>
      <c r="D102" s="87">
        <v>265</v>
      </c>
      <c r="E102" s="300">
        <f t="shared" si="11"/>
        <v>66.25</v>
      </c>
      <c r="F102" s="332"/>
      <c r="G102" s="62">
        <v>5</v>
      </c>
      <c r="H102" s="63">
        <f t="shared" si="12"/>
        <v>83.857439296330412</v>
      </c>
      <c r="I102" s="64">
        <v>0.53</v>
      </c>
      <c r="K102" s="6"/>
      <c r="L102" s="41"/>
      <c r="M102" s="60"/>
      <c r="O102" s="96"/>
      <c r="P102" s="97"/>
      <c r="Q102" s="118"/>
      <c r="R102" s="99"/>
      <c r="S102" s="100"/>
      <c r="T102" s="101"/>
      <c r="U102" s="119"/>
    </row>
    <row r="103" spans="1:22">
      <c r="A103" s="514"/>
      <c r="B103" s="330" t="s">
        <v>81</v>
      </c>
      <c r="C103" s="293">
        <v>29</v>
      </c>
      <c r="D103" s="105">
        <v>168</v>
      </c>
      <c r="E103" s="310">
        <f t="shared" si="11"/>
        <v>42</v>
      </c>
      <c r="F103" s="333"/>
      <c r="G103" s="38">
        <v>5</v>
      </c>
      <c r="H103" s="39">
        <f t="shared" si="12"/>
        <v>53.162452082201924</v>
      </c>
      <c r="I103" s="40">
        <v>0.53</v>
      </c>
      <c r="K103" s="6"/>
      <c r="L103" s="120"/>
      <c r="M103" s="60"/>
      <c r="O103" s="96"/>
      <c r="P103" s="97"/>
      <c r="Q103" s="98"/>
      <c r="R103" s="99"/>
      <c r="S103" s="100"/>
      <c r="T103" s="101"/>
      <c r="U103" s="119"/>
    </row>
    <row r="104" spans="1:22" ht="15.6" thickBot="1">
      <c r="A104" s="515"/>
      <c r="B104" s="331" t="s">
        <v>82</v>
      </c>
      <c r="C104" s="86">
        <v>46</v>
      </c>
      <c r="D104" s="87">
        <v>310</v>
      </c>
      <c r="E104" s="300">
        <f t="shared" si="11"/>
        <v>77.5</v>
      </c>
      <c r="F104" s="334"/>
      <c r="G104" s="62">
        <v>5</v>
      </c>
      <c r="H104" s="63">
        <f t="shared" si="12"/>
        <v>98.097381818348779</v>
      </c>
      <c r="I104" s="64">
        <v>0.53</v>
      </c>
      <c r="K104" s="6"/>
      <c r="L104" s="41"/>
      <c r="M104" s="60"/>
      <c r="O104" s="96"/>
      <c r="P104" s="97"/>
      <c r="Q104" s="98"/>
      <c r="R104" s="99"/>
      <c r="S104" s="100"/>
      <c r="T104" s="101"/>
      <c r="U104" s="119"/>
    </row>
    <row r="105" spans="1:22">
      <c r="A105" s="503" t="s">
        <v>83</v>
      </c>
      <c r="B105" s="275" t="s">
        <v>84</v>
      </c>
      <c r="C105" s="293">
        <v>18.3</v>
      </c>
      <c r="D105" s="105">
        <v>82</v>
      </c>
      <c r="E105" s="310">
        <f>F105/D105*1000</f>
        <v>203.53170731707314</v>
      </c>
      <c r="F105" s="335">
        <f>3.66*1.52*3</f>
        <v>16.689599999999999</v>
      </c>
      <c r="G105" s="38">
        <v>5</v>
      </c>
      <c r="H105" s="39">
        <f t="shared" si="12"/>
        <v>25.948339706789032</v>
      </c>
      <c r="I105" s="40">
        <v>0.53</v>
      </c>
      <c r="K105" s="6"/>
      <c r="L105" s="41"/>
      <c r="M105" s="60"/>
      <c r="N105" s="121"/>
      <c r="O105" s="96"/>
      <c r="P105" s="97"/>
      <c r="Q105" s="98"/>
      <c r="R105" s="99"/>
      <c r="S105" s="100"/>
      <c r="T105" s="101"/>
      <c r="U105" s="119"/>
    </row>
    <row r="106" spans="1:22">
      <c r="A106" s="504"/>
      <c r="B106" s="80" t="s">
        <v>85</v>
      </c>
      <c r="C106" s="81">
        <v>28.5</v>
      </c>
      <c r="D106" s="82">
        <v>98.1</v>
      </c>
      <c r="E106" s="298">
        <f t="shared" ref="E106:E115" si="13">F106/D106*1000</f>
        <v>167.43119266055044</v>
      </c>
      <c r="F106" s="336">
        <f>3.65*1.5*3</f>
        <v>16.424999999999997</v>
      </c>
      <c r="G106" s="43">
        <v>5</v>
      </c>
      <c r="H106" s="44">
        <f t="shared" si="12"/>
        <v>31.043074698000048</v>
      </c>
      <c r="I106" s="45">
        <v>0.53</v>
      </c>
      <c r="K106" s="6"/>
      <c r="L106" s="41"/>
      <c r="M106" s="60"/>
      <c r="N106" s="121"/>
      <c r="O106" s="96"/>
      <c r="P106" s="97"/>
      <c r="Q106" s="98"/>
      <c r="R106" s="99"/>
      <c r="S106" s="100"/>
      <c r="T106" s="101"/>
      <c r="U106" s="119"/>
    </row>
    <row r="107" spans="1:22">
      <c r="A107" s="504"/>
      <c r="B107" s="80" t="s">
        <v>86</v>
      </c>
      <c r="C107" s="81">
        <v>39.299999999999997</v>
      </c>
      <c r="D107" s="82">
        <v>98</v>
      </c>
      <c r="E107" s="298">
        <f t="shared" si="13"/>
        <v>285.70408163265307</v>
      </c>
      <c r="F107" s="336">
        <f>6.1*1.53*3</f>
        <v>27.999000000000002</v>
      </c>
      <c r="G107" s="43">
        <v>5</v>
      </c>
      <c r="H107" s="44">
        <f t="shared" si="12"/>
        <v>31.011430381284455</v>
      </c>
      <c r="I107" s="45">
        <v>0.53</v>
      </c>
      <c r="K107" s="6"/>
      <c r="L107" s="122"/>
      <c r="M107" s="60"/>
      <c r="N107" s="121"/>
      <c r="O107" s="96"/>
      <c r="P107" s="97"/>
      <c r="Q107" s="98"/>
      <c r="R107" s="99"/>
      <c r="S107" s="100"/>
      <c r="T107" s="101"/>
      <c r="U107" s="119"/>
    </row>
    <row r="108" spans="1:22">
      <c r="A108" s="504"/>
      <c r="B108" s="289" t="s">
        <v>87</v>
      </c>
      <c r="C108" s="290">
        <v>43.1</v>
      </c>
      <c r="D108" s="123">
        <v>82</v>
      </c>
      <c r="E108" s="323">
        <f t="shared" si="13"/>
        <v>267.4390243902439</v>
      </c>
      <c r="F108" s="337">
        <f>4.3*1.7*3</f>
        <v>21.93</v>
      </c>
      <c r="G108" s="53">
        <v>5</v>
      </c>
      <c r="H108" s="198">
        <f t="shared" si="12"/>
        <v>25.948339706789032</v>
      </c>
      <c r="I108" s="199">
        <v>0.53</v>
      </c>
      <c r="J108" s="54" t="s">
        <v>17</v>
      </c>
      <c r="K108" s="6"/>
      <c r="L108" s="41"/>
      <c r="M108" s="60"/>
      <c r="N108" s="121"/>
      <c r="O108" s="96"/>
      <c r="P108" s="97"/>
      <c r="Q108" s="98"/>
      <c r="R108" s="99"/>
      <c r="S108" s="100"/>
      <c r="T108" s="101"/>
      <c r="U108" s="119"/>
    </row>
    <row r="109" spans="1:22">
      <c r="A109" s="504"/>
      <c r="B109" s="80" t="s">
        <v>88</v>
      </c>
      <c r="C109" s="81">
        <v>34.799999999999997</v>
      </c>
      <c r="D109" s="82">
        <v>130</v>
      </c>
      <c r="E109" s="298">
        <f t="shared" si="13"/>
        <v>170.76923076923075</v>
      </c>
      <c r="F109" s="336">
        <v>22.2</v>
      </c>
      <c r="G109" s="43">
        <v>5</v>
      </c>
      <c r="H109" s="44">
        <f t="shared" si="12"/>
        <v>41.137611730275296</v>
      </c>
      <c r="I109" s="45">
        <v>0.53</v>
      </c>
      <c r="K109" s="6"/>
      <c r="L109" s="41"/>
      <c r="M109" s="60"/>
      <c r="N109" s="121"/>
      <c r="O109" s="96"/>
      <c r="P109" s="97"/>
      <c r="Q109" s="98"/>
      <c r="R109" s="99"/>
      <c r="S109" s="100"/>
      <c r="T109" s="101"/>
      <c r="U109" s="119"/>
    </row>
    <row r="110" spans="1:22">
      <c r="A110" s="504"/>
      <c r="B110" s="338" t="s">
        <v>207</v>
      </c>
      <c r="C110" s="81">
        <v>28</v>
      </c>
      <c r="D110" s="82">
        <f>2*37.5</f>
        <v>75</v>
      </c>
      <c r="E110" s="298">
        <f t="shared" si="13"/>
        <v>296.00000000000006</v>
      </c>
      <c r="F110" s="339">
        <f>7.4*3</f>
        <v>22.200000000000003</v>
      </c>
      <c r="G110" s="43">
        <v>5</v>
      </c>
      <c r="H110" s="44">
        <f t="shared" ref="H110:H115" si="14">D110*I110*(0.6957*G110^-0.095)</f>
        <v>23.733237536697285</v>
      </c>
      <c r="I110" s="45">
        <v>0.53</v>
      </c>
      <c r="K110" s="6"/>
      <c r="L110" s="41"/>
      <c r="M110" s="60"/>
      <c r="N110" s="121"/>
      <c r="O110" s="96"/>
      <c r="P110" s="97"/>
      <c r="Q110" s="98"/>
      <c r="R110" s="99"/>
      <c r="S110" s="100"/>
      <c r="T110" s="101"/>
      <c r="U110" s="119"/>
    </row>
    <row r="111" spans="1:22">
      <c r="A111" s="504"/>
      <c r="B111" s="80" t="s">
        <v>89</v>
      </c>
      <c r="C111" s="81">
        <v>15.4</v>
      </c>
      <c r="D111" s="82">
        <v>97</v>
      </c>
      <c r="E111" s="298">
        <f t="shared" si="13"/>
        <v>201.03092783505156</v>
      </c>
      <c r="F111" s="336">
        <f>6.5*3</f>
        <v>19.5</v>
      </c>
      <c r="G111" s="43">
        <v>5</v>
      </c>
      <c r="H111" s="44">
        <f t="shared" si="14"/>
        <v>30.694987214128489</v>
      </c>
      <c r="I111" s="45">
        <v>0.53</v>
      </c>
      <c r="K111" s="6"/>
      <c r="L111" s="41"/>
      <c r="M111" s="106"/>
      <c r="N111" s="121"/>
      <c r="O111" s="96"/>
      <c r="P111" s="97"/>
      <c r="Q111" s="98"/>
      <c r="R111" s="99"/>
      <c r="S111" s="100"/>
      <c r="T111" s="101"/>
      <c r="U111" s="119"/>
    </row>
    <row r="112" spans="1:22">
      <c r="A112" s="504"/>
      <c r="B112" s="80" t="s">
        <v>90</v>
      </c>
      <c r="C112" s="81">
        <v>32.700000000000003</v>
      </c>
      <c r="D112" s="82">
        <v>98</v>
      </c>
      <c r="E112" s="298">
        <f t="shared" si="13"/>
        <v>151.87755102040813</v>
      </c>
      <c r="F112" s="336">
        <f>4.88*1.525*2</f>
        <v>14.883999999999999</v>
      </c>
      <c r="G112" s="43">
        <v>5</v>
      </c>
      <c r="H112" s="44">
        <f t="shared" si="14"/>
        <v>31.011430381284455</v>
      </c>
      <c r="I112" s="45">
        <v>0.53</v>
      </c>
      <c r="K112" s="6"/>
      <c r="L112" s="41"/>
      <c r="M112" s="106"/>
      <c r="N112" s="121"/>
      <c r="U112" s="119"/>
    </row>
    <row r="113" spans="1:21">
      <c r="A113" s="504"/>
      <c r="B113" s="80" t="s">
        <v>91</v>
      </c>
      <c r="C113" s="81">
        <v>37.200000000000003</v>
      </c>
      <c r="D113" s="82">
        <v>168</v>
      </c>
      <c r="E113" s="298">
        <f t="shared" si="13"/>
        <v>127.38095238095238</v>
      </c>
      <c r="F113" s="336">
        <v>21.4</v>
      </c>
      <c r="G113" s="43">
        <v>5</v>
      </c>
      <c r="H113" s="44">
        <f t="shared" si="14"/>
        <v>53.162452082201924</v>
      </c>
      <c r="I113" s="45">
        <v>0.53</v>
      </c>
      <c r="K113" s="41"/>
      <c r="L113" s="41"/>
      <c r="M113" s="60"/>
      <c r="N113" s="121"/>
      <c r="U113" s="119"/>
    </row>
    <row r="114" spans="1:21">
      <c r="A114" s="504"/>
      <c r="B114" s="80" t="s">
        <v>92</v>
      </c>
      <c r="C114" s="81">
        <v>32</v>
      </c>
      <c r="D114" s="82">
        <v>98</v>
      </c>
      <c r="E114" s="298">
        <f t="shared" si="13"/>
        <v>199.20857142857139</v>
      </c>
      <c r="F114" s="336">
        <f>3*(4.27*1.524)</f>
        <v>19.522439999999996</v>
      </c>
      <c r="G114" s="43">
        <v>5</v>
      </c>
      <c r="H114" s="44">
        <f t="shared" si="14"/>
        <v>31.011430381284455</v>
      </c>
      <c r="I114" s="45">
        <v>0.53</v>
      </c>
      <c r="K114" s="41"/>
      <c r="L114" s="41"/>
      <c r="M114" s="60"/>
      <c r="N114" s="121"/>
      <c r="U114" s="119"/>
    </row>
    <row r="115" spans="1:21" ht="15.6" thickBot="1">
      <c r="A115" s="505"/>
      <c r="B115" s="291" t="s">
        <v>93</v>
      </c>
      <c r="C115" s="292">
        <v>39.5</v>
      </c>
      <c r="D115" s="116">
        <v>168</v>
      </c>
      <c r="E115" s="328">
        <f t="shared" si="13"/>
        <v>199.33928571428575</v>
      </c>
      <c r="F115" s="340">
        <f>6.1*1.83*3</f>
        <v>33.489000000000004</v>
      </c>
      <c r="G115" s="57">
        <v>5</v>
      </c>
      <c r="H115" s="58">
        <f t="shared" si="14"/>
        <v>53.162452082201924</v>
      </c>
      <c r="I115" s="59">
        <v>0.53</v>
      </c>
      <c r="K115" s="41"/>
      <c r="L115" s="41"/>
      <c r="M115" s="60"/>
      <c r="N115" s="121"/>
      <c r="U115" s="119"/>
    </row>
    <row r="116" spans="1:21">
      <c r="A116" s="503" t="s">
        <v>94</v>
      </c>
      <c r="B116" s="275" t="s">
        <v>95</v>
      </c>
      <c r="C116" s="310">
        <v>160</v>
      </c>
      <c r="D116" s="105">
        <v>1200</v>
      </c>
      <c r="E116" s="310">
        <f>C116*F116</f>
        <v>108.80000000000001</v>
      </c>
      <c r="F116" s="341">
        <v>0.68</v>
      </c>
      <c r="G116" s="43"/>
      <c r="H116" s="44">
        <v>25.948339706789032</v>
      </c>
      <c r="I116" s="239">
        <v>0.53</v>
      </c>
      <c r="K116" s="41"/>
      <c r="L116" s="60"/>
      <c r="M116" s="60"/>
      <c r="N116" s="121"/>
      <c r="U116" s="119"/>
    </row>
    <row r="117" spans="1:21">
      <c r="A117" s="504"/>
      <c r="B117" s="80" t="s">
        <v>96</v>
      </c>
      <c r="C117" s="298">
        <v>200</v>
      </c>
      <c r="D117" s="82">
        <v>1200</v>
      </c>
      <c r="E117" s="298">
        <v>200</v>
      </c>
      <c r="F117" s="342">
        <v>0.7</v>
      </c>
      <c r="G117" s="43"/>
      <c r="H117" s="44">
        <f>D117*$M$9*I117/1000</f>
        <v>0.25440000000000002</v>
      </c>
      <c r="I117" s="239">
        <v>0.53</v>
      </c>
      <c r="K117" s="41"/>
      <c r="L117" s="60"/>
      <c r="M117" s="60"/>
      <c r="N117" s="121"/>
      <c r="U117" s="119"/>
    </row>
    <row r="118" spans="1:21">
      <c r="A118" s="504"/>
      <c r="B118" s="80" t="s">
        <v>97</v>
      </c>
      <c r="C118" s="298">
        <v>90</v>
      </c>
      <c r="D118" s="82">
        <v>1200</v>
      </c>
      <c r="E118" s="298">
        <v>90</v>
      </c>
      <c r="F118" s="342">
        <v>0.72</v>
      </c>
      <c r="G118" s="43"/>
      <c r="H118" s="44">
        <f t="shared" ref="H118:H120" si="15">D118*$M$9*I118/1000</f>
        <v>0.25440000000000002</v>
      </c>
      <c r="I118" s="239">
        <v>0.53</v>
      </c>
      <c r="K118" s="41"/>
      <c r="L118" s="60"/>
      <c r="M118" s="60"/>
      <c r="N118" s="121"/>
      <c r="U118" s="119"/>
    </row>
    <row r="119" spans="1:21" ht="15.6" thickBot="1">
      <c r="A119" s="506"/>
      <c r="B119" s="85" t="s">
        <v>98</v>
      </c>
      <c r="C119" s="300">
        <v>200</v>
      </c>
      <c r="D119" s="87">
        <v>310</v>
      </c>
      <c r="E119" s="300">
        <v>200</v>
      </c>
      <c r="F119" s="343">
        <v>0.72</v>
      </c>
      <c r="G119" s="62"/>
      <c r="H119" s="44">
        <f t="shared" si="15"/>
        <v>6.5720000000000001E-2</v>
      </c>
      <c r="I119" s="240">
        <v>0.53</v>
      </c>
      <c r="U119" s="119"/>
    </row>
    <row r="120" spans="1:21" ht="15.6" thickBot="1">
      <c r="A120" s="297" t="s">
        <v>99</v>
      </c>
      <c r="B120" s="275" t="s">
        <v>100</v>
      </c>
      <c r="C120" s="293">
        <f>E120*0.8</f>
        <v>80</v>
      </c>
      <c r="D120" s="105">
        <v>150</v>
      </c>
      <c r="E120" s="344">
        <v>100</v>
      </c>
      <c r="F120" s="79">
        <v>6</v>
      </c>
      <c r="G120" s="70"/>
      <c r="H120" s="44">
        <f t="shared" si="15"/>
        <v>3.1800000000000002E-2</v>
      </c>
      <c r="I120" s="72">
        <v>0.53</v>
      </c>
      <c r="U120" s="119"/>
    </row>
    <row r="121" spans="1:21" ht="15.6" thickBot="1">
      <c r="A121" s="299"/>
      <c r="B121" s="345" t="s">
        <v>101</v>
      </c>
      <c r="C121" s="346"/>
      <c r="D121" s="347"/>
      <c r="E121" s="348"/>
      <c r="F121" s="79">
        <v>6</v>
      </c>
      <c r="G121" s="124"/>
      <c r="H121" s="125">
        <v>10</v>
      </c>
      <c r="I121" s="126"/>
    </row>
    <row r="122" spans="1:21">
      <c r="A122" s="503" t="s">
        <v>102</v>
      </c>
      <c r="B122" s="275" t="s">
        <v>103</v>
      </c>
      <c r="C122" s="293">
        <v>19.7</v>
      </c>
      <c r="D122" s="105">
        <v>160</v>
      </c>
      <c r="E122" s="306">
        <f>D122*0.53*C122</f>
        <v>1670.5600000000002</v>
      </c>
      <c r="F122" s="307"/>
      <c r="G122" s="38">
        <v>5</v>
      </c>
      <c r="H122" s="39">
        <f t="shared" ref="H122:H153" si="16">D122*I122*(0.6957*G122^-0.095)</f>
        <v>50.630906744954217</v>
      </c>
      <c r="I122" s="40">
        <v>0.53</v>
      </c>
    </row>
    <row r="123" spans="1:21" ht="15.6" thickBot="1">
      <c r="A123" s="506"/>
      <c r="B123" s="85" t="s">
        <v>104</v>
      </c>
      <c r="C123" s="86">
        <v>19</v>
      </c>
      <c r="D123" s="87">
        <v>139</v>
      </c>
      <c r="E123" s="88">
        <f>D123*0.53*C123</f>
        <v>1399.73</v>
      </c>
      <c r="F123" s="89"/>
      <c r="G123" s="62">
        <v>5</v>
      </c>
      <c r="H123" s="63">
        <f t="shared" si="16"/>
        <v>43.985600234678969</v>
      </c>
      <c r="I123" s="64">
        <v>0.53</v>
      </c>
    </row>
    <row r="124" spans="1:21">
      <c r="A124" s="503" t="s">
        <v>105</v>
      </c>
      <c r="B124" s="275" t="s">
        <v>106</v>
      </c>
      <c r="C124" s="293">
        <v>14.3</v>
      </c>
      <c r="D124" s="105">
        <v>90</v>
      </c>
      <c r="E124" s="306">
        <f t="shared" ref="E124:E129" si="17">D124*F124</f>
        <v>450</v>
      </c>
      <c r="F124" s="307">
        <v>5</v>
      </c>
      <c r="G124" s="38">
        <v>5</v>
      </c>
      <c r="H124" s="39">
        <f t="shared" si="16"/>
        <v>28.479885044036742</v>
      </c>
      <c r="I124" s="40">
        <v>0.53</v>
      </c>
    </row>
    <row r="125" spans="1:21">
      <c r="A125" s="504"/>
      <c r="B125" s="80" t="s">
        <v>107</v>
      </c>
      <c r="C125" s="81">
        <v>18.399999999999999</v>
      </c>
      <c r="D125" s="82">
        <v>129</v>
      </c>
      <c r="E125" s="83">
        <f t="shared" si="17"/>
        <v>645</v>
      </c>
      <c r="F125" s="84">
        <v>5</v>
      </c>
      <c r="G125" s="43">
        <v>5</v>
      </c>
      <c r="H125" s="44">
        <f t="shared" si="16"/>
        <v>40.821168563119329</v>
      </c>
      <c r="I125" s="45">
        <v>0.53</v>
      </c>
    </row>
    <row r="126" spans="1:21">
      <c r="A126" s="504"/>
      <c r="B126" s="80" t="s">
        <v>108</v>
      </c>
      <c r="C126" s="81">
        <v>20.399999999999999</v>
      </c>
      <c r="D126" s="82">
        <v>168</v>
      </c>
      <c r="E126" s="83">
        <f t="shared" si="17"/>
        <v>1008</v>
      </c>
      <c r="F126" s="84">
        <v>6</v>
      </c>
      <c r="G126" s="43">
        <v>5</v>
      </c>
      <c r="H126" s="44">
        <f t="shared" si="16"/>
        <v>53.162452082201924</v>
      </c>
      <c r="I126" s="45">
        <v>0.53</v>
      </c>
    </row>
    <row r="127" spans="1:21">
      <c r="A127" s="504"/>
      <c r="B127" s="80" t="s">
        <v>109</v>
      </c>
      <c r="C127" s="81">
        <v>1.44</v>
      </c>
      <c r="D127" s="82">
        <v>10.199999999999999</v>
      </c>
      <c r="E127" s="83">
        <f t="shared" si="17"/>
        <v>18.36</v>
      </c>
      <c r="F127" s="84">
        <v>1.8</v>
      </c>
      <c r="G127" s="43">
        <v>5</v>
      </c>
      <c r="H127" s="44">
        <f t="shared" si="16"/>
        <v>3.2277203049908305</v>
      </c>
      <c r="I127" s="45">
        <v>0.53</v>
      </c>
    </row>
    <row r="128" spans="1:21">
      <c r="A128" s="504"/>
      <c r="B128" s="80" t="s">
        <v>110</v>
      </c>
      <c r="C128" s="81">
        <v>6.5</v>
      </c>
      <c r="D128" s="82">
        <v>55.4</v>
      </c>
      <c r="E128" s="83">
        <f t="shared" si="17"/>
        <v>138.5</v>
      </c>
      <c r="F128" s="84">
        <v>2.5</v>
      </c>
      <c r="G128" s="43">
        <v>5</v>
      </c>
      <c r="H128" s="44">
        <f t="shared" si="16"/>
        <v>17.530951460440395</v>
      </c>
      <c r="I128" s="45">
        <v>0.53</v>
      </c>
    </row>
    <row r="129" spans="1:17">
      <c r="A129" s="504"/>
      <c r="B129" s="80" t="s">
        <v>111</v>
      </c>
      <c r="C129" s="81">
        <v>18.7</v>
      </c>
      <c r="D129" s="82">
        <v>129</v>
      </c>
      <c r="E129" s="83">
        <f t="shared" si="17"/>
        <v>645</v>
      </c>
      <c r="F129" s="84">
        <v>5</v>
      </c>
      <c r="G129" s="43">
        <v>5</v>
      </c>
      <c r="H129" s="44">
        <f t="shared" si="16"/>
        <v>40.821168563119329</v>
      </c>
      <c r="I129" s="45">
        <v>0.53</v>
      </c>
    </row>
    <row r="130" spans="1:17">
      <c r="A130" s="504"/>
      <c r="B130" s="287" t="s">
        <v>112</v>
      </c>
      <c r="C130" s="288">
        <v>23.3</v>
      </c>
      <c r="D130" s="263">
        <v>187</v>
      </c>
      <c r="E130" s="308">
        <f>D130*F130</f>
        <v>1028.5</v>
      </c>
      <c r="F130" s="304">
        <v>5.5</v>
      </c>
      <c r="G130" s="49">
        <v>5</v>
      </c>
      <c r="H130" s="44">
        <f t="shared" si="16"/>
        <v>59.17487225816523</v>
      </c>
      <c r="I130" s="45">
        <v>0.53</v>
      </c>
    </row>
    <row r="131" spans="1:17" ht="15.6" thickBot="1">
      <c r="A131" s="505"/>
      <c r="B131" s="349" t="s">
        <v>113</v>
      </c>
      <c r="C131" s="350">
        <v>30.9</v>
      </c>
      <c r="D131" s="351">
        <v>354</v>
      </c>
      <c r="E131" s="352">
        <f>D131*F131</f>
        <v>2124</v>
      </c>
      <c r="F131" s="353">
        <v>6</v>
      </c>
      <c r="G131" s="93">
        <v>5</v>
      </c>
      <c r="H131" s="58">
        <f t="shared" si="16"/>
        <v>112.02088117321118</v>
      </c>
      <c r="I131" s="59">
        <v>0.53</v>
      </c>
    </row>
    <row r="132" spans="1:17" ht="15.6">
      <c r="A132" s="253" t="s">
        <v>147</v>
      </c>
      <c r="B132" s="275" t="s">
        <v>146</v>
      </c>
      <c r="C132" s="293">
        <v>19.7</v>
      </c>
      <c r="D132" s="105">
        <v>75</v>
      </c>
      <c r="E132" s="306">
        <f>D132*4.5</f>
        <v>337.5</v>
      </c>
      <c r="F132" s="105">
        <v>2260</v>
      </c>
      <c r="G132" s="38">
        <v>5</v>
      </c>
      <c r="H132" s="39">
        <f t="shared" si="16"/>
        <v>23.733237536697285</v>
      </c>
      <c r="I132" s="40">
        <v>0.53</v>
      </c>
      <c r="J132" s="142" t="s">
        <v>212</v>
      </c>
      <c r="K132" s="233" t="s">
        <v>211</v>
      </c>
      <c r="L132" s="201"/>
      <c r="M132" s="201"/>
      <c r="N132" s="202"/>
      <c r="O132" s="203"/>
      <c r="P132" s="203"/>
      <c r="Q132" s="204"/>
    </row>
    <row r="133" spans="1:17">
      <c r="A133" s="257"/>
      <c r="B133" s="80" t="s">
        <v>164</v>
      </c>
      <c r="C133" s="81">
        <v>10</v>
      </c>
      <c r="D133" s="82">
        <v>50</v>
      </c>
      <c r="E133" s="83">
        <f>D133*4.5</f>
        <v>225</v>
      </c>
      <c r="F133" s="82">
        <f>2261/4</f>
        <v>565.25</v>
      </c>
      <c r="G133" s="43">
        <v>5</v>
      </c>
      <c r="H133" s="44">
        <f t="shared" si="16"/>
        <v>15.822158357798189</v>
      </c>
      <c r="I133" s="45">
        <v>0.53</v>
      </c>
      <c r="K133" s="143"/>
      <c r="L133" s="60"/>
      <c r="M133" s="60"/>
      <c r="N133" s="205" t="s">
        <v>155</v>
      </c>
      <c r="O133" s="206">
        <v>50</v>
      </c>
      <c r="Q133" s="207"/>
    </row>
    <row r="134" spans="1:17">
      <c r="A134" s="270"/>
      <c r="B134" s="291" t="s">
        <v>165</v>
      </c>
      <c r="C134" s="292">
        <v>10</v>
      </c>
      <c r="D134" s="116">
        <v>90</v>
      </c>
      <c r="E134" s="83">
        <f>D134*4.5</f>
        <v>405</v>
      </c>
      <c r="F134" s="116">
        <f>F135/4</f>
        <v>361.25</v>
      </c>
      <c r="G134" s="43">
        <v>5</v>
      </c>
      <c r="H134" s="44">
        <f t="shared" si="16"/>
        <v>28.479885044036742</v>
      </c>
      <c r="I134" s="45">
        <v>0.53</v>
      </c>
      <c r="K134" s="143"/>
      <c r="L134" s="60"/>
      <c r="M134" s="60"/>
      <c r="N134" s="205" t="s">
        <v>154</v>
      </c>
      <c r="O134" s="206">
        <v>180</v>
      </c>
      <c r="Q134" s="207"/>
    </row>
    <row r="135" spans="1:17" ht="16.2" thickBot="1">
      <c r="A135" s="278" t="s">
        <v>150</v>
      </c>
      <c r="B135" s="85" t="s">
        <v>149</v>
      </c>
      <c r="C135" s="86">
        <v>47.9</v>
      </c>
      <c r="D135" s="87">
        <v>240</v>
      </c>
      <c r="E135" s="88">
        <f>D135*4.5</f>
        <v>1080</v>
      </c>
      <c r="F135" s="87">
        <v>1445</v>
      </c>
      <c r="G135" s="62">
        <v>5</v>
      </c>
      <c r="H135" s="63">
        <f t="shared" si="16"/>
        <v>75.946360117431311</v>
      </c>
      <c r="I135" s="64">
        <v>0.53</v>
      </c>
      <c r="K135" s="143"/>
      <c r="L135" s="60"/>
      <c r="M135" s="60"/>
      <c r="N135" s="208" t="s">
        <v>208</v>
      </c>
      <c r="O135" s="209">
        <f>O134-O133</f>
        <v>130</v>
      </c>
      <c r="Q135" s="207"/>
    </row>
    <row r="136" spans="1:17">
      <c r="A136" s="509" t="s">
        <v>153</v>
      </c>
      <c r="B136" s="284" t="s">
        <v>151</v>
      </c>
      <c r="C136" s="285">
        <v>29.8</v>
      </c>
      <c r="D136" s="112">
        <v>129.4</v>
      </c>
      <c r="E136" s="311">
        <v>220</v>
      </c>
      <c r="F136" s="302"/>
      <c r="G136" s="70">
        <v>5</v>
      </c>
      <c r="H136" s="71">
        <f t="shared" si="16"/>
        <v>40.94774582998172</v>
      </c>
      <c r="I136" s="72">
        <v>0.53</v>
      </c>
      <c r="K136" s="143"/>
      <c r="L136" s="60"/>
      <c r="M136" s="60"/>
      <c r="N136" s="205" t="s">
        <v>156</v>
      </c>
      <c r="O136" s="210">
        <v>0.05</v>
      </c>
      <c r="Q136" s="207"/>
    </row>
    <row r="137" spans="1:17" ht="15.6" thickBot="1">
      <c r="A137" s="506"/>
      <c r="B137" s="85" t="s">
        <v>152</v>
      </c>
      <c r="C137" s="86">
        <v>29.95</v>
      </c>
      <c r="D137" s="87">
        <v>129</v>
      </c>
      <c r="E137" s="300">
        <v>220</v>
      </c>
      <c r="F137" s="89"/>
      <c r="G137" s="62">
        <v>5</v>
      </c>
      <c r="H137" s="63">
        <f t="shared" si="16"/>
        <v>40.821168563119329</v>
      </c>
      <c r="I137" s="64">
        <v>0.53</v>
      </c>
      <c r="K137" s="143"/>
      <c r="L137" s="60"/>
      <c r="M137" s="60"/>
      <c r="N137" s="205" t="s">
        <v>161</v>
      </c>
      <c r="O137" s="211">
        <v>2.5</v>
      </c>
      <c r="Q137" s="207"/>
    </row>
    <row r="138" spans="1:17">
      <c r="A138" s="509" t="s">
        <v>114</v>
      </c>
      <c r="B138" s="284" t="s">
        <v>115</v>
      </c>
      <c r="C138" s="285">
        <v>1.6</v>
      </c>
      <c r="D138" s="112">
        <v>16.100000000000001</v>
      </c>
      <c r="E138" s="301">
        <f>D138*0.53*C138*F138*8</f>
        <v>87.377920000000017</v>
      </c>
      <c r="F138" s="302">
        <v>0.8</v>
      </c>
      <c r="G138" s="70">
        <v>5</v>
      </c>
      <c r="H138" s="71">
        <f t="shared" si="16"/>
        <v>5.094734991211018</v>
      </c>
      <c r="I138" s="72">
        <v>0.53</v>
      </c>
      <c r="K138" s="143"/>
      <c r="L138" s="60"/>
      <c r="M138" s="60"/>
      <c r="N138" s="208" t="s">
        <v>160</v>
      </c>
      <c r="O138" s="212">
        <v>0.96</v>
      </c>
      <c r="Q138" s="207"/>
    </row>
    <row r="139" spans="1:17">
      <c r="A139" s="504"/>
      <c r="B139" s="80" t="s">
        <v>116</v>
      </c>
      <c r="C139" s="81">
        <v>4.5999999999999996</v>
      </c>
      <c r="D139" s="82">
        <v>37.4</v>
      </c>
      <c r="E139" s="83">
        <f t="shared" ref="E139:E144" si="18">D139*0.53*C139*F139</f>
        <v>118.53555999999999</v>
      </c>
      <c r="F139" s="84">
        <v>1.3</v>
      </c>
      <c r="G139" s="43">
        <v>5</v>
      </c>
      <c r="H139" s="44">
        <f t="shared" si="16"/>
        <v>11.834974451633045</v>
      </c>
      <c r="I139" s="45">
        <v>0.53</v>
      </c>
      <c r="K139" s="143"/>
      <c r="L139" s="60"/>
      <c r="M139" s="60"/>
      <c r="N139" s="208" t="s">
        <v>157</v>
      </c>
      <c r="O139" s="213">
        <v>1</v>
      </c>
      <c r="Q139" s="207"/>
    </row>
    <row r="140" spans="1:17">
      <c r="A140" s="504"/>
      <c r="B140" s="287" t="s">
        <v>117</v>
      </c>
      <c r="C140" s="288">
        <v>7.4</v>
      </c>
      <c r="D140" s="263">
        <v>55.4</v>
      </c>
      <c r="E140" s="308">
        <f t="shared" si="18"/>
        <v>325.91820000000001</v>
      </c>
      <c r="F140" s="304">
        <v>1.5</v>
      </c>
      <c r="G140" s="49">
        <v>5</v>
      </c>
      <c r="H140" s="44">
        <f t="shared" si="16"/>
        <v>17.530951460440395</v>
      </c>
      <c r="I140" s="45">
        <v>0.53</v>
      </c>
      <c r="K140" s="143"/>
      <c r="L140" s="92"/>
      <c r="M140" s="60"/>
      <c r="N140" s="208" t="s">
        <v>158</v>
      </c>
      <c r="O140" s="214">
        <v>1</v>
      </c>
      <c r="Q140" s="207"/>
    </row>
    <row r="141" spans="1:17">
      <c r="A141" s="504"/>
      <c r="B141" s="287" t="s">
        <v>118</v>
      </c>
      <c r="C141" s="288">
        <v>7.8</v>
      </c>
      <c r="D141" s="263">
        <v>55.4</v>
      </c>
      <c r="E141" s="308">
        <f t="shared" si="18"/>
        <v>389.34012000000001</v>
      </c>
      <c r="F141" s="304">
        <v>1.7</v>
      </c>
      <c r="G141" s="49">
        <v>5</v>
      </c>
      <c r="H141" s="44">
        <f t="shared" si="16"/>
        <v>17.530951460440395</v>
      </c>
      <c r="I141" s="45">
        <v>0.53</v>
      </c>
      <c r="K141" s="143"/>
      <c r="N141" s="208" t="s">
        <v>159</v>
      </c>
      <c r="O141" s="215">
        <f>(O139*O140)*O136*O137</f>
        <v>0.125</v>
      </c>
      <c r="Q141" s="207"/>
    </row>
    <row r="142" spans="1:17">
      <c r="A142" s="504"/>
      <c r="B142" s="287" t="s">
        <v>119</v>
      </c>
      <c r="C142" s="288">
        <v>9.5</v>
      </c>
      <c r="D142" s="263">
        <v>85</v>
      </c>
      <c r="E142" s="308">
        <f t="shared" si="18"/>
        <v>727.5575</v>
      </c>
      <c r="F142" s="304">
        <v>1.7</v>
      </c>
      <c r="G142" s="49">
        <v>5</v>
      </c>
      <c r="H142" s="44">
        <f t="shared" si="16"/>
        <v>26.897669208256925</v>
      </c>
      <c r="I142" s="45">
        <v>0.53</v>
      </c>
      <c r="K142" s="216" t="s">
        <v>12</v>
      </c>
      <c r="L142" s="37">
        <v>0.54</v>
      </c>
      <c r="M142" s="65">
        <v>46</v>
      </c>
      <c r="N142" s="208" t="s">
        <v>162</v>
      </c>
      <c r="O142" s="77">
        <f>O135*O141*O138</f>
        <v>15.6</v>
      </c>
      <c r="Q142" s="207"/>
    </row>
    <row r="143" spans="1:17" ht="18.600000000000001">
      <c r="A143" s="504"/>
      <c r="B143" s="80" t="s">
        <v>120</v>
      </c>
      <c r="C143" s="81">
        <v>12.6</v>
      </c>
      <c r="D143" s="82">
        <v>115</v>
      </c>
      <c r="E143" s="83">
        <f t="shared" si="18"/>
        <v>1535.94</v>
      </c>
      <c r="F143" s="84">
        <v>2</v>
      </c>
      <c r="G143" s="43">
        <v>5</v>
      </c>
      <c r="H143" s="44">
        <f t="shared" si="16"/>
        <v>36.390964222935835</v>
      </c>
      <c r="I143" s="45">
        <v>0.53</v>
      </c>
      <c r="K143" s="143"/>
      <c r="L143" s="217">
        <v>1</v>
      </c>
      <c r="M143" s="218">
        <v>3.6</v>
      </c>
      <c r="N143" s="208" t="s">
        <v>209</v>
      </c>
      <c r="O143" s="219">
        <f>O142/M144</f>
        <v>19.5</v>
      </c>
      <c r="Q143" s="207"/>
    </row>
    <row r="144" spans="1:17" ht="15.6" thickBot="1">
      <c r="A144" s="505"/>
      <c r="B144" s="291" t="s">
        <v>121</v>
      </c>
      <c r="C144" s="292">
        <v>13.1</v>
      </c>
      <c r="D144" s="116">
        <v>115</v>
      </c>
      <c r="E144" s="309">
        <f t="shared" si="18"/>
        <v>1676.7345000000003</v>
      </c>
      <c r="F144" s="305">
        <v>2.1</v>
      </c>
      <c r="G144" s="57">
        <v>5</v>
      </c>
      <c r="H144" s="58">
        <f t="shared" si="16"/>
        <v>36.390964222935835</v>
      </c>
      <c r="I144" s="59">
        <v>0.53</v>
      </c>
      <c r="K144" s="143"/>
      <c r="L144" s="60"/>
      <c r="M144" s="60">
        <v>0.8</v>
      </c>
      <c r="N144" s="208" t="s">
        <v>163</v>
      </c>
      <c r="O144" s="220">
        <f>O143/M142</f>
        <v>0.42391304347826086</v>
      </c>
      <c r="P144" s="221">
        <v>4</v>
      </c>
      <c r="Q144" s="222">
        <f>P144*60</f>
        <v>240</v>
      </c>
    </row>
    <row r="145" spans="1:17">
      <c r="A145" s="503" t="s">
        <v>122</v>
      </c>
      <c r="B145" s="275" t="s">
        <v>123</v>
      </c>
      <c r="C145" s="293">
        <v>8.5</v>
      </c>
      <c r="D145" s="105">
        <v>55.4</v>
      </c>
      <c r="E145" s="306">
        <f>D145*0.53*C145*F145</f>
        <v>449.23860000000008</v>
      </c>
      <c r="F145" s="307">
        <v>1.8</v>
      </c>
      <c r="G145" s="38">
        <v>5</v>
      </c>
      <c r="H145" s="39">
        <f t="shared" si="16"/>
        <v>17.530951460440395</v>
      </c>
      <c r="I145" s="40">
        <v>0.53</v>
      </c>
      <c r="K145" s="223"/>
      <c r="L145" s="60" t="s">
        <v>148</v>
      </c>
      <c r="M145" s="224">
        <f>((F132*$M$143)/$M$142)/($P$144*60)</f>
        <v>0.73695652173913051</v>
      </c>
      <c r="N145" s="225">
        <f>M145/Q145</f>
        <v>0.163768115942029</v>
      </c>
      <c r="O145" s="226"/>
      <c r="Q145" s="227">
        <v>4.5</v>
      </c>
    </row>
    <row r="146" spans="1:17" ht="15.6" thickBot="1">
      <c r="A146" s="506"/>
      <c r="B146" s="85" t="s">
        <v>124</v>
      </c>
      <c r="C146" s="86">
        <v>9.5</v>
      </c>
      <c r="D146" s="87">
        <v>85</v>
      </c>
      <c r="E146" s="88">
        <f>D146*0.53*C146*F146</f>
        <v>770.35500000000002</v>
      </c>
      <c r="F146" s="89">
        <v>1.8</v>
      </c>
      <c r="G146" s="62">
        <v>5</v>
      </c>
      <c r="H146" s="63">
        <f t="shared" si="16"/>
        <v>26.897669208256925</v>
      </c>
      <c r="I146" s="64">
        <v>0.53</v>
      </c>
      <c r="K146" s="223"/>
      <c r="L146" s="60" t="s">
        <v>148</v>
      </c>
      <c r="M146" s="224">
        <f>((F133*$M$143)/$M$142)/($P$144*60)</f>
        <v>0.18432065217391305</v>
      </c>
      <c r="N146" s="225">
        <f>M146/Q146</f>
        <v>4.0960144927536232E-2</v>
      </c>
      <c r="O146" s="226"/>
      <c r="Q146" s="227">
        <v>4.5</v>
      </c>
    </row>
    <row r="147" spans="1:17">
      <c r="A147" s="510" t="s">
        <v>142</v>
      </c>
      <c r="B147" s="354" t="s">
        <v>125</v>
      </c>
      <c r="C147" s="355">
        <v>13</v>
      </c>
      <c r="D147" s="356">
        <v>180</v>
      </c>
      <c r="E147" s="308">
        <f>D147/0.5*F147</f>
        <v>1620</v>
      </c>
      <c r="F147" s="357">
        <v>4.5</v>
      </c>
      <c r="G147" s="127">
        <v>5</v>
      </c>
      <c r="H147" s="71">
        <f t="shared" si="16"/>
        <v>56.959770088073483</v>
      </c>
      <c r="I147" s="72">
        <v>0.53</v>
      </c>
      <c r="K147" s="223"/>
      <c r="L147" s="60"/>
      <c r="M147" s="224"/>
      <c r="N147" s="225"/>
      <c r="O147" s="226"/>
      <c r="Q147" s="227"/>
    </row>
    <row r="148" spans="1:17" ht="15.6" thickBot="1">
      <c r="A148" s="510"/>
      <c r="B148" s="349" t="s">
        <v>126</v>
      </c>
      <c r="C148" s="350">
        <v>1.9</v>
      </c>
      <c r="D148" s="351">
        <v>22</v>
      </c>
      <c r="E148" s="308">
        <f>D148/0.5*F148</f>
        <v>110</v>
      </c>
      <c r="F148" s="353">
        <v>2.5</v>
      </c>
      <c r="G148" s="128">
        <v>5</v>
      </c>
      <c r="H148" s="129">
        <f t="shared" si="16"/>
        <v>6.9617496774312038</v>
      </c>
      <c r="I148" s="115">
        <v>0.53</v>
      </c>
      <c r="K148" s="223"/>
      <c r="L148" s="60" t="s">
        <v>148</v>
      </c>
      <c r="M148" s="224">
        <f>((F135*$M$143)/$M$142)/($P$144*60)</f>
        <v>0.47119565217391302</v>
      </c>
      <c r="N148" s="225">
        <f>M148/Q148</f>
        <v>0.10471014492753622</v>
      </c>
      <c r="O148" s="226"/>
      <c r="Q148" s="227">
        <v>4.5</v>
      </c>
    </row>
    <row r="149" spans="1:17" ht="15.6" thickBot="1">
      <c r="A149" s="511" t="s">
        <v>127</v>
      </c>
      <c r="B149" s="275" t="s">
        <v>30</v>
      </c>
      <c r="C149" s="293">
        <v>4.5999999999999996</v>
      </c>
      <c r="D149" s="105">
        <v>81</v>
      </c>
      <c r="E149" s="256"/>
      <c r="F149" s="79"/>
      <c r="G149" s="38">
        <v>5</v>
      </c>
      <c r="H149" s="39">
        <f t="shared" si="16"/>
        <v>25.631896539633068</v>
      </c>
      <c r="I149" s="40">
        <v>0.53</v>
      </c>
      <c r="K149" s="144"/>
      <c r="L149" s="228"/>
      <c r="M149" s="228"/>
      <c r="N149" s="229">
        <f>SUM(N145:N148)</f>
        <v>0.30943840579710147</v>
      </c>
      <c r="O149" s="230">
        <f>N149-O144</f>
        <v>-0.1144746376811594</v>
      </c>
      <c r="P149" s="231">
        <f>(((160-40)*((1*1)*0.05*2.5)*0.96)/0.8)/$M$142</f>
        <v>0.39130434782608686</v>
      </c>
      <c r="Q149" s="232"/>
    </row>
    <row r="150" spans="1:17">
      <c r="A150" s="510"/>
      <c r="B150" s="80" t="s">
        <v>31</v>
      </c>
      <c r="C150" s="81">
        <v>11.1</v>
      </c>
      <c r="D150" s="82">
        <f>235/1.343</f>
        <v>174.98138495904692</v>
      </c>
      <c r="E150" s="78"/>
      <c r="F150" s="260"/>
      <c r="G150" s="43">
        <v>5</v>
      </c>
      <c r="H150" s="44">
        <f t="shared" si="16"/>
        <v>55.371663649777737</v>
      </c>
      <c r="I150" s="45">
        <v>0.53</v>
      </c>
      <c r="K150" s="60"/>
      <c r="L150" s="60"/>
      <c r="M150" s="130"/>
    </row>
    <row r="151" spans="1:17">
      <c r="A151" s="510"/>
      <c r="B151" s="80" t="s">
        <v>32</v>
      </c>
      <c r="C151" s="81">
        <v>11.1</v>
      </c>
      <c r="D151" s="82">
        <f>348/1.343</f>
        <v>259.12137006701414</v>
      </c>
      <c r="E151" s="78"/>
      <c r="F151" s="260"/>
      <c r="G151" s="43">
        <v>5</v>
      </c>
      <c r="H151" s="44">
        <f t="shared" si="16"/>
        <v>81.99718702179851</v>
      </c>
      <c r="I151" s="45">
        <v>0.53</v>
      </c>
      <c r="K151" s="60"/>
      <c r="L151" s="60"/>
      <c r="M151" s="60"/>
    </row>
    <row r="152" spans="1:17">
      <c r="A152" s="510"/>
      <c r="B152" s="80" t="s">
        <v>33</v>
      </c>
      <c r="C152" s="81">
        <v>5.2</v>
      </c>
      <c r="D152" s="82">
        <f>130/1.343</f>
        <v>96.798212956068511</v>
      </c>
      <c r="E152" s="78"/>
      <c r="F152" s="260"/>
      <c r="G152" s="43">
        <v>5</v>
      </c>
      <c r="H152" s="44">
        <f t="shared" si="16"/>
        <v>30.631133082855769</v>
      </c>
      <c r="I152" s="45">
        <v>0.53</v>
      </c>
      <c r="K152" s="60"/>
      <c r="L152" s="60"/>
      <c r="M152" s="60"/>
    </row>
    <row r="153" spans="1:17">
      <c r="A153" s="510"/>
      <c r="B153" s="80" t="s">
        <v>34</v>
      </c>
      <c r="C153" s="81">
        <v>10.8</v>
      </c>
      <c r="D153" s="82">
        <f>300/1.343</f>
        <v>223.38049143708116</v>
      </c>
      <c r="E153" s="78"/>
      <c r="F153" s="260"/>
      <c r="G153" s="43">
        <v>5</v>
      </c>
      <c r="H153" s="44">
        <f t="shared" si="16"/>
        <v>70.687230191205614</v>
      </c>
      <c r="I153" s="45">
        <v>0.53</v>
      </c>
      <c r="K153" s="60"/>
      <c r="L153" s="60"/>
      <c r="M153" s="60"/>
    </row>
    <row r="154" spans="1:17">
      <c r="A154" s="510"/>
      <c r="B154" s="80"/>
      <c r="C154" s="81"/>
      <c r="D154" s="82"/>
      <c r="E154" s="298"/>
      <c r="F154" s="260"/>
      <c r="G154" s="43"/>
      <c r="H154" s="44"/>
      <c r="I154" s="45"/>
      <c r="K154" s="60"/>
      <c r="L154" s="60"/>
      <c r="M154" s="60"/>
    </row>
    <row r="155" spans="1:17" s="33" customFormat="1" ht="15.6" thickBot="1">
      <c r="A155" s="512"/>
      <c r="B155" s="85"/>
      <c r="C155" s="86"/>
      <c r="D155" s="87"/>
      <c r="E155" s="300"/>
      <c r="F155" s="283"/>
      <c r="G155" s="62"/>
      <c r="H155" s="63"/>
      <c r="I155" s="64"/>
      <c r="K155" s="60"/>
      <c r="L155" s="60"/>
      <c r="M155" s="60"/>
    </row>
    <row r="156" spans="1:17" s="33" customFormat="1">
      <c r="A156" s="244"/>
      <c r="B156" s="358"/>
      <c r="C156" s="244"/>
      <c r="D156" s="244"/>
      <c r="E156" s="244"/>
      <c r="F156" s="244"/>
      <c r="K156" s="60"/>
      <c r="L156" s="60"/>
      <c r="M156" s="60"/>
    </row>
    <row r="157" spans="1:17" s="33" customFormat="1">
      <c r="A157" s="244"/>
      <c r="B157" s="358"/>
      <c r="C157" s="244"/>
      <c r="D157" s="244"/>
      <c r="E157" s="244"/>
      <c r="F157" s="244"/>
      <c r="K157" s="60"/>
      <c r="L157" s="60"/>
      <c r="M157" s="60"/>
    </row>
    <row r="158" spans="1:17" s="33" customFormat="1">
      <c r="A158" s="244"/>
      <c r="B158" s="358"/>
      <c r="C158" s="244"/>
      <c r="D158" s="244"/>
      <c r="E158" s="244"/>
      <c r="F158" s="244"/>
      <c r="K158" s="60"/>
      <c r="L158" s="60"/>
      <c r="M158" s="60"/>
    </row>
    <row r="159" spans="1:17" ht="15.6" thickBot="1"/>
    <row r="160" spans="1:17">
      <c r="A160" s="359" t="s">
        <v>145</v>
      </c>
      <c r="B160" s="254"/>
      <c r="C160" s="360"/>
      <c r="D160" s="361"/>
      <c r="E160" s="361"/>
      <c r="F160" s="361"/>
      <c r="G160" s="131"/>
      <c r="H160" s="39">
        <v>4.0999999999999996</v>
      </c>
      <c r="I160" s="132"/>
    </row>
    <row r="161" spans="1:9">
      <c r="A161" s="362" t="s">
        <v>169</v>
      </c>
      <c r="B161" s="271"/>
      <c r="C161" s="363"/>
      <c r="D161" s="364"/>
      <c r="E161" s="364"/>
      <c r="F161" s="364"/>
      <c r="G161" s="133"/>
      <c r="H161" s="58"/>
      <c r="I161" s="134"/>
    </row>
    <row r="162" spans="1:9">
      <c r="A162" s="507" t="s">
        <v>168</v>
      </c>
      <c r="B162" s="80" t="s">
        <v>171</v>
      </c>
      <c r="C162" s="81">
        <v>24.3</v>
      </c>
      <c r="D162" s="82">
        <v>287</v>
      </c>
      <c r="E162" s="78"/>
      <c r="F162" s="84"/>
      <c r="G162" s="43">
        <v>5</v>
      </c>
      <c r="H162" s="44">
        <f t="shared" ref="H162:H169" si="19">D162*I162*(0.6957*G162^-0.095)</f>
        <v>90.819188973761612</v>
      </c>
      <c r="I162" s="135">
        <v>0.53</v>
      </c>
    </row>
    <row r="163" spans="1:9">
      <c r="A163" s="507"/>
      <c r="B163" s="258" t="s">
        <v>172</v>
      </c>
      <c r="C163" s="81">
        <v>21.7</v>
      </c>
      <c r="D163" s="82">
        <v>287</v>
      </c>
      <c r="E163" s="78"/>
      <c r="F163" s="84"/>
      <c r="G163" s="43">
        <v>5</v>
      </c>
      <c r="H163" s="44">
        <f t="shared" si="19"/>
        <v>90.819188973761612</v>
      </c>
      <c r="I163" s="135">
        <v>0.53</v>
      </c>
    </row>
    <row r="164" spans="1:9">
      <c r="A164" s="507"/>
      <c r="B164" s="258" t="s">
        <v>173</v>
      </c>
      <c r="C164" s="81">
        <v>19.899999999999999</v>
      </c>
      <c r="D164" s="82"/>
      <c r="E164" s="78"/>
      <c r="F164" s="84"/>
      <c r="G164" s="43">
        <v>5</v>
      </c>
      <c r="H164" s="44">
        <f t="shared" si="19"/>
        <v>0</v>
      </c>
      <c r="I164" s="135">
        <v>0.53</v>
      </c>
    </row>
    <row r="165" spans="1:9">
      <c r="A165" s="507"/>
      <c r="B165" s="258" t="s">
        <v>174</v>
      </c>
      <c r="C165" s="81"/>
      <c r="D165" s="82"/>
      <c r="E165" s="78"/>
      <c r="F165" s="84"/>
      <c r="G165" s="43">
        <v>5</v>
      </c>
      <c r="H165" s="44">
        <f t="shared" si="19"/>
        <v>0</v>
      </c>
      <c r="I165" s="135">
        <v>0.53</v>
      </c>
    </row>
    <row r="166" spans="1:9">
      <c r="A166" s="507"/>
      <c r="B166" s="258" t="s">
        <v>175</v>
      </c>
      <c r="C166" s="81"/>
      <c r="D166" s="82"/>
      <c r="E166" s="78"/>
      <c r="F166" s="84"/>
      <c r="G166" s="43">
        <v>5</v>
      </c>
      <c r="H166" s="44">
        <f t="shared" si="19"/>
        <v>0</v>
      </c>
      <c r="I166" s="135">
        <v>0.53</v>
      </c>
    </row>
    <row r="167" spans="1:9">
      <c r="A167" s="507"/>
      <c r="B167" s="258" t="s">
        <v>176</v>
      </c>
      <c r="C167" s="81">
        <v>14.8</v>
      </c>
      <c r="D167" s="82">
        <v>168</v>
      </c>
      <c r="E167" s="78">
        <f>F167*I167/2.7</f>
        <v>270.88888888888891</v>
      </c>
      <c r="F167" s="78">
        <f>23*60</f>
        <v>1380</v>
      </c>
      <c r="G167" s="43">
        <v>5</v>
      </c>
      <c r="H167" s="44">
        <f t="shared" si="19"/>
        <v>53.162452082201924</v>
      </c>
      <c r="I167" s="135">
        <v>0.53</v>
      </c>
    </row>
    <row r="168" spans="1:9">
      <c r="A168" s="507"/>
      <c r="B168" s="258" t="s">
        <v>177</v>
      </c>
      <c r="C168" s="81">
        <v>15.7</v>
      </c>
      <c r="D168" s="82">
        <v>168</v>
      </c>
      <c r="E168" s="78"/>
      <c r="F168" s="84"/>
      <c r="G168" s="43">
        <v>5</v>
      </c>
      <c r="H168" s="44">
        <f t="shared" si="19"/>
        <v>53.162452082201924</v>
      </c>
      <c r="I168" s="135">
        <v>0.53</v>
      </c>
    </row>
    <row r="169" spans="1:9" ht="15.6" thickBot="1">
      <c r="A169" s="508"/>
      <c r="B169" s="282" t="s">
        <v>178</v>
      </c>
      <c r="C169" s="86">
        <v>28.5</v>
      </c>
      <c r="D169" s="87">
        <v>403</v>
      </c>
      <c r="E169" s="280"/>
      <c r="F169" s="89"/>
      <c r="G169" s="62">
        <v>5</v>
      </c>
      <c r="H169" s="63">
        <f t="shared" si="19"/>
        <v>127.52659636385341</v>
      </c>
      <c r="I169" s="138">
        <v>0.53</v>
      </c>
    </row>
    <row r="170" spans="1:9" ht="15.6" thickBot="1"/>
    <row r="171" spans="1:9">
      <c r="A171" s="500" t="s">
        <v>191</v>
      </c>
      <c r="B171" s="254" t="s">
        <v>192</v>
      </c>
      <c r="C171" s="360"/>
      <c r="D171" s="105">
        <v>265</v>
      </c>
      <c r="E171" s="256">
        <v>60</v>
      </c>
      <c r="F171" s="361"/>
      <c r="G171" s="131"/>
      <c r="H171" s="131"/>
      <c r="I171" s="132"/>
    </row>
    <row r="172" spans="1:9" ht="15.6" customHeight="1">
      <c r="A172" s="501"/>
      <c r="B172" s="258" t="s">
        <v>193</v>
      </c>
      <c r="C172" s="365"/>
      <c r="D172" s="82">
        <v>290</v>
      </c>
      <c r="E172" s="78">
        <v>80</v>
      </c>
      <c r="F172" s="366"/>
      <c r="G172" s="136"/>
      <c r="H172" s="136"/>
      <c r="I172" s="139"/>
    </row>
    <row r="173" spans="1:9" ht="16.2" customHeight="1" thickBot="1">
      <c r="A173" s="502"/>
      <c r="B173" s="282" t="s">
        <v>194</v>
      </c>
      <c r="C173" s="367"/>
      <c r="D173" s="87">
        <v>375</v>
      </c>
      <c r="E173" s="280">
        <v>100</v>
      </c>
      <c r="F173" s="368"/>
      <c r="G173" s="137"/>
      <c r="H173" s="137"/>
      <c r="I173" s="140"/>
    </row>
  </sheetData>
  <autoFilter ref="H160:H169" xr:uid="{7314C362-C692-4DAC-995F-E534EA72C745}">
    <filterColumn colId="0">
      <colorFilter dxfId="0" cellColor="0"/>
    </filterColumn>
  </autoFilter>
  <dataConsolidate/>
  <mergeCells count="25">
    <mergeCell ref="A91:A93"/>
    <mergeCell ref="A94:A104"/>
    <mergeCell ref="A84:A90"/>
    <mergeCell ref="A4:A15"/>
    <mergeCell ref="A16:A18"/>
    <mergeCell ref="A19:A21"/>
    <mergeCell ref="A22:A31"/>
    <mergeCell ref="A32:A37"/>
    <mergeCell ref="A38:A42"/>
    <mergeCell ref="A43:A49"/>
    <mergeCell ref="A50:A60"/>
    <mergeCell ref="A61:A70"/>
    <mergeCell ref="A71:A78"/>
    <mergeCell ref="A79:A83"/>
    <mergeCell ref="A171:A173"/>
    <mergeCell ref="A105:A115"/>
    <mergeCell ref="A116:A119"/>
    <mergeCell ref="A122:A123"/>
    <mergeCell ref="A162:A169"/>
    <mergeCell ref="A138:A144"/>
    <mergeCell ref="A145:A146"/>
    <mergeCell ref="A147:A148"/>
    <mergeCell ref="A149:A155"/>
    <mergeCell ref="A124:A131"/>
    <mergeCell ref="A136:A137"/>
  </mergeCells>
  <phoneticPr fontId="6" type="noConversion"/>
  <dataValidations count="5">
    <dataValidation type="list" allowBlank="1" showInputMessage="1" showErrorMessage="1" sqref="I94:I120" xr:uid="{1776E84B-7263-468F-B851-BBFA09262010}">
      <formula1>"0.3,0.4,0.53"</formula1>
    </dataValidation>
    <dataValidation type="list" allowBlank="1" showInputMessage="1" showErrorMessage="1" sqref="I43:I49 I70:I90 I121:I155 I162:I169" xr:uid="{E1BF7EFD-FFD2-4620-ACAD-25A21C8DBB07}">
      <formula1>"0.53,1"</formula1>
    </dataValidation>
    <dataValidation type="list" allowBlank="1" showInputMessage="1" showErrorMessage="1" sqref="I91:I93 I4:I42 I50:I69" xr:uid="{2411C0AA-BC0E-4300-878B-FC0FE7C52C13}">
      <formula1>"0.53"</formula1>
    </dataValidation>
    <dataValidation type="list" allowBlank="1" showInputMessage="1" showErrorMessage="1" sqref="G4:G155 G162:G169 L12" xr:uid="{646AE743-C024-4971-8A4C-91CEF5BBDB2E}">
      <formula1>"1,2,3,4,5"</formula1>
    </dataValidation>
    <dataValidation type="list" allowBlank="1" showInputMessage="1" showErrorMessage="1" sqref="M12" xr:uid="{FA122AE5-E2EE-4E49-946C-06228A3D475E}">
      <formula1>"1,2,3,4,5,6"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1C9B-FCF7-428C-9C3A-40E3667D0FE2}">
  <sheetPr>
    <tabColor rgb="FFFF0000"/>
    <pageSetUpPr fitToPage="1"/>
  </sheetPr>
  <dimension ref="A6:P42"/>
  <sheetViews>
    <sheetView showGridLines="0" zoomScale="70" zoomScaleNormal="70" workbookViewId="0">
      <selection activeCell="N32" sqref="N32"/>
    </sheetView>
  </sheetViews>
  <sheetFormatPr defaultColWidth="17.109375" defaultRowHeight="15"/>
  <cols>
    <col min="1" max="1" width="27.21875" style="33" bestFit="1" customWidth="1"/>
    <col min="2" max="2" width="13.6640625" style="33" bestFit="1" customWidth="1"/>
    <col min="3" max="3" width="15" style="33" customWidth="1"/>
    <col min="4" max="4" width="13.77734375" style="33" customWidth="1"/>
    <col min="5" max="5" width="13" style="33" bestFit="1" customWidth="1"/>
    <col min="6" max="6" width="21.88671875" style="6" bestFit="1" customWidth="1"/>
    <col min="7" max="7" width="13.33203125" style="33" bestFit="1" customWidth="1"/>
    <col min="8" max="8" width="20.44140625" style="33" bestFit="1" customWidth="1"/>
    <col min="9" max="9" width="11.88671875" style="33" bestFit="1" customWidth="1"/>
    <col min="10" max="10" width="16.77734375" style="33" bestFit="1" customWidth="1"/>
    <col min="11" max="11" width="9" style="33" bestFit="1" customWidth="1"/>
    <col min="12" max="12" width="9.109375" style="33" bestFit="1" customWidth="1"/>
    <col min="13" max="13" width="10.6640625" style="33" bestFit="1" customWidth="1"/>
    <col min="14" max="14" width="11.21875" style="33" bestFit="1" customWidth="1"/>
    <col min="15" max="15" width="18.33203125" style="33" bestFit="1" customWidth="1"/>
    <col min="16" max="16" width="7.88671875" style="6" customWidth="1"/>
    <col min="17" max="16384" width="17.109375" style="33"/>
  </cols>
  <sheetData>
    <row r="6" spans="1:16" ht="22.8">
      <c r="A6" s="516" t="s">
        <v>190</v>
      </c>
      <c r="B6" s="516"/>
      <c r="C6" s="516"/>
      <c r="D6" s="517"/>
      <c r="E6" s="237">
        <f>E8+E13+E23</f>
        <v>5.3100012232072036</v>
      </c>
      <c r="F6" s="421">
        <v>10</v>
      </c>
      <c r="H6" s="518" t="s">
        <v>316</v>
      </c>
      <c r="I6" s="518"/>
      <c r="J6" s="518"/>
      <c r="K6" s="518"/>
      <c r="L6" s="518"/>
      <c r="M6" s="518"/>
      <c r="N6" s="518"/>
      <c r="O6" s="518"/>
      <c r="P6" s="33"/>
    </row>
    <row r="7" spans="1:16" ht="15.6">
      <c r="A7" s="145"/>
      <c r="B7" s="146"/>
      <c r="C7" s="146" t="s">
        <v>13</v>
      </c>
      <c r="D7" s="146"/>
      <c r="E7" s="146"/>
      <c r="F7" s="417"/>
      <c r="H7" s="147"/>
      <c r="I7" s="147"/>
      <c r="J7" s="147"/>
      <c r="K7" s="147"/>
      <c r="L7" s="147"/>
      <c r="M7" s="147"/>
      <c r="N7" s="146" t="s">
        <v>5</v>
      </c>
      <c r="O7" s="146" t="s">
        <v>215</v>
      </c>
      <c r="P7" s="33"/>
    </row>
    <row r="8" spans="1:16" ht="15.6">
      <c r="A8" s="148" t="s">
        <v>143</v>
      </c>
      <c r="B8" s="149"/>
      <c r="C8" s="150"/>
      <c r="D8" s="151"/>
      <c r="E8" s="152">
        <f>SUM(E9:E12)</f>
        <v>3.7800000000000002</v>
      </c>
      <c r="F8" s="423">
        <f>E6/F6*1000</f>
        <v>531.00012232072038</v>
      </c>
      <c r="G8" s="42"/>
      <c r="H8" s="153"/>
      <c r="I8" s="154"/>
      <c r="J8" s="154"/>
      <c r="K8" s="154"/>
      <c r="L8" s="154"/>
      <c r="M8" s="154"/>
      <c r="N8" s="151"/>
      <c r="O8" s="151"/>
      <c r="P8" s="33"/>
    </row>
    <row r="9" spans="1:16">
      <c r="A9" s="155" t="s">
        <v>322</v>
      </c>
      <c r="B9" s="156"/>
      <c r="C9" s="432">
        <f>I36</f>
        <v>54</v>
      </c>
      <c r="D9" s="158"/>
      <c r="E9" s="159">
        <f>IF(C9="","",IFERROR(C9*O9,""))</f>
        <v>3.7800000000000002</v>
      </c>
      <c r="F9" s="419"/>
      <c r="G9" s="42"/>
      <c r="H9" s="136"/>
      <c r="I9" s="160"/>
      <c r="J9" s="160"/>
      <c r="K9" s="160"/>
      <c r="L9" s="160"/>
      <c r="M9" s="160"/>
      <c r="O9" s="161">
        <f>IF(A9="","",(_xlfn.XLOOKUP(A9,GWP!$B$3:$B$121,GWP!$D$3:$D$121)))</f>
        <v>7.0000000000000007E-2</v>
      </c>
      <c r="P9" s="33"/>
    </row>
    <row r="10" spans="1:16">
      <c r="A10" s="155"/>
      <c r="B10" s="156"/>
      <c r="C10" s="157"/>
      <c r="D10" s="162"/>
      <c r="E10" s="159" t="str">
        <f>IF(C10="","",IFERROR(C10*O10,""))</f>
        <v/>
      </c>
      <c r="H10" s="136"/>
      <c r="I10" s="160"/>
      <c r="J10" s="160"/>
      <c r="K10" s="160"/>
      <c r="L10" s="160"/>
      <c r="M10" s="160"/>
      <c r="N10" s="161"/>
      <c r="O10" s="161" t="str">
        <f>IF(A10="","",(_xlfn.XLOOKUP(A10,GWP!$B$3:$B$121,GWP!$D$3:$D$121)))</f>
        <v/>
      </c>
      <c r="P10" s="33"/>
    </row>
    <row r="11" spans="1:16" ht="15.6">
      <c r="A11" s="155"/>
      <c r="B11" s="163"/>
      <c r="C11" s="157"/>
      <c r="D11" s="163"/>
      <c r="E11" s="159" t="str">
        <f>IF(C11="","",IFERROR(C11*O11,""))</f>
        <v/>
      </c>
      <c r="H11" s="136"/>
      <c r="I11" s="136"/>
      <c r="J11" s="136"/>
      <c r="K11" s="136"/>
      <c r="L11" s="136"/>
      <c r="M11" s="136"/>
      <c r="N11" s="163"/>
      <c r="O11" s="161" t="str">
        <f>IF(A11="","",(_xlfn.XLOOKUP(A11,GWP!$B$3:$B$121,GWP!$D$3:$D$121)))</f>
        <v/>
      </c>
      <c r="P11" s="33"/>
    </row>
    <row r="12" spans="1:16" ht="15.6">
      <c r="A12" s="155"/>
      <c r="B12" s="163"/>
      <c r="C12" s="163"/>
      <c r="D12" s="163"/>
      <c r="E12" s="159" t="str">
        <f>IF(C12="","",IFERROR(C12*O12,""))</f>
        <v/>
      </c>
      <c r="H12" s="136"/>
      <c r="I12" s="136"/>
      <c r="J12" s="136"/>
      <c r="K12" s="136"/>
      <c r="L12" s="136"/>
      <c r="M12" s="136"/>
      <c r="N12" s="163"/>
      <c r="O12" s="161" t="str">
        <f>IF(A12="","",(_xlfn.XLOOKUP(A12,GWP!$B$3:$B$121,GWP!$D$3:$D$121)))</f>
        <v/>
      </c>
      <c r="P12" s="33"/>
    </row>
    <row r="13" spans="1:16" ht="15.6">
      <c r="A13" s="164" t="s">
        <v>15</v>
      </c>
      <c r="B13" s="165"/>
      <c r="C13" s="165" t="s">
        <v>239</v>
      </c>
      <c r="D13" s="166" t="s">
        <v>144</v>
      </c>
      <c r="E13" s="152">
        <f>SUM(E14:E22)</f>
        <v>0</v>
      </c>
      <c r="H13" s="153"/>
      <c r="I13" s="154"/>
      <c r="J13" s="154"/>
      <c r="K13" s="154"/>
      <c r="L13" s="154"/>
      <c r="M13" s="154"/>
      <c r="N13" s="167" t="s">
        <v>5</v>
      </c>
      <c r="O13" s="167" t="s">
        <v>7</v>
      </c>
      <c r="P13" s="33"/>
    </row>
    <row r="14" spans="1:16" ht="15.6">
      <c r="A14" s="168"/>
      <c r="B14" s="236"/>
      <c r="C14" s="236"/>
      <c r="D14" s="162"/>
      <c r="E14" s="171" t="str">
        <f t="shared" ref="E14:E19" si="0">IF(C14="","",IFERROR(N14*0.53*(0.6957*O14^-0.095)*C14/1000,""))</f>
        <v/>
      </c>
      <c r="F14" s="185"/>
      <c r="G14" s="173"/>
      <c r="H14" s="136"/>
      <c r="I14" s="174"/>
      <c r="J14" s="174"/>
      <c r="K14" s="174"/>
      <c r="L14" s="174"/>
      <c r="M14" s="174"/>
      <c r="N14" s="170"/>
      <c r="O14" s="175"/>
      <c r="P14" s="33"/>
    </row>
    <row r="15" spans="1:16" ht="15.6">
      <c r="A15" s="168"/>
      <c r="B15" s="236"/>
      <c r="C15" s="236"/>
      <c r="D15" s="162"/>
      <c r="E15" s="171"/>
      <c r="F15" s="185"/>
      <c r="G15" s="173"/>
      <c r="H15" s="136"/>
      <c r="I15" s="174"/>
      <c r="J15" s="174"/>
      <c r="K15" s="174"/>
      <c r="L15" s="174"/>
      <c r="M15" s="174"/>
      <c r="N15" s="170"/>
      <c r="O15" s="175"/>
      <c r="P15" s="33"/>
    </row>
    <row r="16" spans="1:16" ht="15.6">
      <c r="A16" s="168"/>
      <c r="B16" s="236"/>
      <c r="C16" s="236"/>
      <c r="D16" s="162"/>
      <c r="E16" s="171"/>
      <c r="F16" s="185"/>
      <c r="G16" s="173"/>
      <c r="H16" s="136"/>
      <c r="I16" s="174"/>
      <c r="J16" s="174"/>
      <c r="K16" s="174"/>
      <c r="L16" s="174"/>
      <c r="M16" s="174"/>
      <c r="N16" s="170"/>
      <c r="O16" s="175"/>
      <c r="P16" s="33"/>
    </row>
    <row r="17" spans="1:16" ht="15.6">
      <c r="A17" s="168"/>
      <c r="B17" s="236"/>
      <c r="C17" s="236"/>
      <c r="D17" s="162"/>
      <c r="E17" s="171" t="str">
        <f t="shared" si="0"/>
        <v/>
      </c>
      <c r="F17" s="185"/>
      <c r="G17" s="173"/>
      <c r="H17" s="136"/>
      <c r="I17" s="174"/>
      <c r="J17" s="174"/>
      <c r="K17" s="174"/>
      <c r="L17" s="174"/>
      <c r="M17" s="174"/>
      <c r="N17" s="170"/>
      <c r="O17" s="175"/>
      <c r="P17" s="33"/>
    </row>
    <row r="18" spans="1:16" ht="15.6">
      <c r="A18" s="168"/>
      <c r="B18" s="236"/>
      <c r="C18" s="236"/>
      <c r="D18" s="162"/>
      <c r="E18" s="171" t="str">
        <f t="shared" si="0"/>
        <v/>
      </c>
      <c r="F18" s="185"/>
      <c r="G18" s="173"/>
      <c r="H18" s="136"/>
      <c r="I18" s="174"/>
      <c r="J18" s="174"/>
      <c r="K18" s="174"/>
      <c r="L18" s="174"/>
      <c r="M18" s="174"/>
      <c r="N18" s="170"/>
      <c r="O18" s="175"/>
      <c r="P18" s="33"/>
    </row>
    <row r="19" spans="1:16" ht="15.6">
      <c r="A19" s="168"/>
      <c r="B19" s="236"/>
      <c r="C19" s="169"/>
      <c r="D19" s="162"/>
      <c r="E19" s="171" t="str">
        <f t="shared" si="0"/>
        <v/>
      </c>
      <c r="F19" s="185"/>
      <c r="G19" s="173"/>
      <c r="H19" s="136"/>
      <c r="I19" s="174"/>
      <c r="J19" s="174"/>
      <c r="K19" s="174"/>
      <c r="L19" s="174"/>
      <c r="M19" s="174"/>
      <c r="N19" s="170"/>
      <c r="O19" s="175"/>
      <c r="P19" s="33"/>
    </row>
    <row r="20" spans="1:16" ht="15.6">
      <c r="A20" s="168"/>
      <c r="B20" s="169"/>
      <c r="C20" s="162"/>
      <c r="D20" s="170"/>
      <c r="E20" s="171" t="str">
        <f t="shared" ref="E20:E22" si="1">IF(B20="","",IFERROR(N20*0.53*(0.6957*O20^-0.095)*B20/1000,""))</f>
        <v/>
      </c>
      <c r="F20" s="172"/>
      <c r="G20" s="176"/>
      <c r="H20" s="136"/>
      <c r="I20" s="174"/>
      <c r="J20" s="174"/>
      <c r="K20" s="174"/>
      <c r="L20" s="174"/>
      <c r="M20" s="174"/>
      <c r="N20" s="170"/>
      <c r="O20" s="175"/>
      <c r="P20" s="33"/>
    </row>
    <row r="21" spans="1:16" ht="15.6">
      <c r="A21" s="168"/>
      <c r="B21" s="169"/>
      <c r="C21" s="162"/>
      <c r="D21" s="170"/>
      <c r="E21" s="171" t="str">
        <f t="shared" si="1"/>
        <v/>
      </c>
      <c r="F21" s="172"/>
      <c r="G21" s="176"/>
      <c r="H21" s="136"/>
      <c r="I21" s="174"/>
      <c r="J21" s="174"/>
      <c r="K21" s="174"/>
      <c r="L21" s="174"/>
      <c r="M21" s="174"/>
      <c r="N21" s="170"/>
      <c r="O21" s="175"/>
      <c r="P21" s="33"/>
    </row>
    <row r="22" spans="1:16" ht="15.6">
      <c r="A22" s="178"/>
      <c r="B22" s="156"/>
      <c r="C22" s="157"/>
      <c r="D22" s="162"/>
      <c r="E22" s="171" t="str">
        <f t="shared" si="1"/>
        <v/>
      </c>
      <c r="F22" s="172"/>
      <c r="G22" s="176"/>
      <c r="H22" s="136"/>
      <c r="I22" s="179"/>
      <c r="J22" s="179"/>
      <c r="K22" s="179"/>
      <c r="L22" s="179"/>
      <c r="M22" s="179"/>
      <c r="N22" s="162"/>
      <c r="O22" s="162"/>
      <c r="P22" s="33"/>
    </row>
    <row r="23" spans="1:16" ht="15.6">
      <c r="A23" s="164" t="s">
        <v>182</v>
      </c>
      <c r="B23" s="180" t="s">
        <v>144</v>
      </c>
      <c r="C23" s="181" t="s">
        <v>13</v>
      </c>
      <c r="D23" s="181" t="s">
        <v>183</v>
      </c>
      <c r="E23" s="152">
        <f>SUM(E24:E25)</f>
        <v>1.5300012232072033</v>
      </c>
      <c r="F23" s="172"/>
      <c r="G23" s="176"/>
      <c r="H23" s="182" t="s">
        <v>135</v>
      </c>
      <c r="I23" s="182" t="s">
        <v>136</v>
      </c>
      <c r="J23" s="182" t="s">
        <v>184</v>
      </c>
      <c r="K23" s="183" t="s">
        <v>133</v>
      </c>
      <c r="L23" s="183" t="s">
        <v>318</v>
      </c>
      <c r="M23" s="183" t="s">
        <v>166</v>
      </c>
      <c r="N23" s="183" t="s">
        <v>5</v>
      </c>
      <c r="O23" s="183" t="s">
        <v>137</v>
      </c>
      <c r="P23" s="33"/>
    </row>
    <row r="24" spans="1:16" ht="15.6">
      <c r="A24" s="168" t="s">
        <v>320</v>
      </c>
      <c r="B24" s="169"/>
      <c r="C24" s="184"/>
      <c r="D24" s="416">
        <v>2700</v>
      </c>
      <c r="E24" s="238">
        <f>IF(AND(B24=0,C24=0,D24=0),"",IFERROR((
IF(AND(C24&gt;0,D24&gt;0),
ROUNDUP(C24/MAX(M24,1),0)*
MIN(N24,ROUNDUP((K24+L24+M24)/0.136,-1)*1.07)*
D24*
IF(OR(ISTEXT(D24),D24&lt;5),0.52,
IF(D24&lt;50,MAX(-0.0014*D24+0.46,0.39),
IF(D24&lt;=100,-0.0014*D24+0.45,0.31)))*
(0.6957*O24^-0.088)/(80/2),
0)
+
IF(AND(C24=0,D24&gt;0),
MIN(N24,ROUNDUP((K24+L24+M24)/0.136,-1)*1.07)*
D24*
IF(OR(ISTEXT(D24),D24&lt;5),0.52,
IF(D24&lt;50,MAX(-0.0014*D24+0.46,0.39),
IF(D24&lt;=100,-0.0014*D24+0.45,0.31)))*
(0.6957*O24^-0.088)/80,
0)
+
IF(B24&gt;0,
B24*
MIN(N24,ROUNDUP((K24+L24+M24)/0.136,-1)*1.07)*
0.52*
(0.6957*O24^-0.088),
0)
)/1000,""))</f>
        <v>1.5300012232072033</v>
      </c>
      <c r="F24" s="434"/>
      <c r="G24" s="369"/>
      <c r="H24" s="186"/>
      <c r="I24" s="186"/>
      <c r="J24" s="186"/>
      <c r="K24" s="177">
        <v>18</v>
      </c>
      <c r="L24" s="177">
        <v>0</v>
      </c>
      <c r="M24" s="187">
        <v>13</v>
      </c>
      <c r="N24" s="170">
        <v>250</v>
      </c>
      <c r="O24" s="4">
        <v>6</v>
      </c>
      <c r="P24" s="33"/>
    </row>
    <row r="25" spans="1:16" ht="15" customHeight="1">
      <c r="A25" s="168"/>
      <c r="B25" s="169"/>
      <c r="C25" s="184"/>
      <c r="D25" s="416"/>
      <c r="E25" s="238" t="str">
        <f>IF(AND(B25=0,C25=0,D25=0),"",IFERROR((
IF(AND(C25&gt;0,D25&gt;0),
ROUNDUP(C25/MAX(M25,1),0)*
MIN(N25,ROUNDUP((K25+L25+M25)/0.136,-1)*1.07)*
D25*
IF(OR(ISTEXT(D25),D25&lt;5),0.52,
IF(D25&lt;50,MAX(-0.0014*D25+0.46,0.39),
IF(D25&lt;=100,-0.0014*D25+0.45,0.31)))*
(0.6957*O25^-0.088)/(80/2),
0)
+
IF(AND(C25=0,D25&gt;0),
MIN(N25,ROUNDUP((K25+L25+M25)/0.136,-1)*1.07)*
D25*
IF(OR(ISTEXT(D25),D25&lt;5),0.52,
IF(D25&lt;50,MAX(-0.0014*D25+0.46,0.39),
IF(D25&lt;=100,-0.0014*D25+0.45,0.31)))*
(0.6957*O25^-0.088)/80,
0)
+
IF(B25&gt;0,
B25*
MIN(N25,ROUNDUP((K25+L25+M25)/0.136,-1)*1.07)*
0.52*
(0.6957*O25^-0.088),
0)
)/1000,""))</f>
        <v/>
      </c>
      <c r="F25" s="185"/>
      <c r="G25" s="369"/>
      <c r="H25" s="186"/>
      <c r="I25" s="186"/>
      <c r="J25" s="186"/>
      <c r="K25" s="177"/>
      <c r="L25" s="177"/>
      <c r="M25" s="187"/>
      <c r="N25" s="170"/>
      <c r="O25" s="4"/>
      <c r="P25" s="188"/>
    </row>
    <row r="26" spans="1:16" ht="15.6">
      <c r="A26" s="168"/>
      <c r="B26" s="169"/>
      <c r="C26" s="184"/>
      <c r="D26" s="416"/>
      <c r="E26" s="238" t="str">
        <f>IF(AND(B26=0,C26=0,D26=0),"",IFERROR((
IF(AND(C26&gt;0,D26&gt;0),
ROUNDUP(C26/MAX(M26,1),0)*
MIN(N26,ROUNDUP((K26+L26+M26)/0.136,-1)*1.07)*
D26*
IF(OR(ISTEXT(D26),D26&lt;5),0.52,
IF(D26&lt;50,MAX(-0.0014*D26+0.46,0.39),
IF(D26&lt;=100,-0.0014*D26+0.45,0.31)))*
(0.6957*O26^-0.088)/(80/2),
0)
+
IF(AND(C26=0,D26&gt;0),
MIN(N26,ROUNDUP((K26+L26+M26)/0.136,-1)*1.07)*
D26*
IF(OR(ISTEXT(D26),D26&lt;5),0.52,
IF(D26&lt;50,MAX(-0.0014*D26+0.46,0.39),
IF(D26&lt;=100,-0.0014*D26+0.45,0.31)))*
(0.6957*O26^-0.088)/80,
0)
+
IF(B26&gt;0,
B26*
MIN(N26,ROUNDUP((K26+L26+M26)/0.136,-1)*1.07)*
0.52*
(0.6957*O26^-0.088),
0)
)/1000,""))</f>
        <v/>
      </c>
      <c r="F26" s="185"/>
      <c r="G26" s="369"/>
      <c r="H26" s="186"/>
      <c r="I26" s="186"/>
      <c r="J26" s="186"/>
      <c r="K26" s="177"/>
      <c r="L26" s="177"/>
      <c r="M26" s="187"/>
      <c r="N26" s="170"/>
      <c r="O26" s="4"/>
    </row>
    <row r="27" spans="1:16" ht="16.2" customHeight="1">
      <c r="A27" s="168"/>
      <c r="B27" s="169"/>
      <c r="C27" s="184"/>
      <c r="D27" s="416"/>
      <c r="E27" s="238" t="str">
        <f>IF(AND(B27=0,C27=0,D27=0),"",IFERROR((
IF(AND(C27&gt;0,D27&gt;0),
ROUNDUP(C27/MAX(M27,1),0)*
MIN(N27,ROUNDUP((K27+L27+M27)/0.136,-1)*1.07)*
D27*
IF(OR(ISTEXT(D27),D27&lt;5),0.52,
IF(D27&lt;50,MAX(-0.0014*D27+0.46,0.39),
IF(D27&lt;=100,-0.0014*D27+0.45,0.31)))*
(0.6957*O27^-0.088)/(80/2),
0)
+
IF(AND(C27=0,D27&gt;0),
MIN(N27,ROUNDUP((K27+L27+M27)/0.136,-1)*1.07)*
D27*
IF(OR(ISTEXT(D27),D27&lt;5),0.52,
IF(D27&lt;50,MAX(-0.0014*D27+0.46,0.39),
IF(D27&lt;=100,-0.0014*D27+0.45,0.31)))*
(0.6957*O27^-0.088)/80,
0)
+
IF(B27&gt;0,
B27*
MIN(N27,ROUNDUP((K27+L27+M27)/0.136,-1)*1.07)*
0.52*
(0.6957*O27^-0.088),
0)
)/1000,""))</f>
        <v/>
      </c>
      <c r="F27" s="185"/>
      <c r="G27" s="369"/>
      <c r="H27" s="186"/>
      <c r="I27" s="186"/>
      <c r="J27" s="186"/>
      <c r="K27" s="177"/>
      <c r="L27" s="177"/>
      <c r="M27" s="187"/>
      <c r="N27" s="170"/>
      <c r="O27" s="4"/>
    </row>
    <row r="28" spans="1:16" ht="16.2" customHeight="1">
      <c r="A28" s="168"/>
      <c r="B28" s="169"/>
      <c r="C28" s="184"/>
      <c r="D28" s="416"/>
      <c r="E28" s="238" t="str">
        <f>IF(AND(B28=0,C28=0,D28=0),"",IFERROR((
IF(AND(C28&gt;0,D28&gt;0),
ROUNDUP(C28/MAX(M28,1),0)*
MIN(N28,ROUNDUP((K28+L28+M28)/0.136,-1)*1.07)*
D28*
IF(OR(ISTEXT(D28),D28&lt;5),0.52,
IF(D28&lt;50,MAX(-0.0014*D28+0.46,0.39),
IF(D28&lt;=100,-0.0014*D28+0.45,0.31)))*
(0.6957*O28^-0.088)/(80/2),
0)
+
IF(AND(C28=0,D28&gt;0),
MIN(N28,ROUNDUP((K28+L28+M28)/0.136,-1)*1.07)*
D28*
IF(OR(ISTEXT(D28),D28&lt;5),0.52,
IF(D28&lt;50,MAX(-0.0014*D28+0.46,0.39),
IF(D28&lt;=100,-0.0014*D28+0.45,0.31)))*
(0.6957*O28^-0.088)/80,
0)
+
IF(B28&gt;0,
B28*
MIN(N28,ROUNDUP((K28+L28+M28)/0.136,-1)*1.07)*
0.52*
(0.6957*O28^-0.088),
0)
)/1000,""))</f>
        <v/>
      </c>
      <c r="F28" s="185"/>
      <c r="G28" s="369"/>
      <c r="H28" s="186"/>
      <c r="I28" s="186"/>
      <c r="J28" s="186"/>
      <c r="K28" s="177"/>
      <c r="L28" s="177"/>
      <c r="M28" s="187"/>
      <c r="N28" s="170"/>
      <c r="O28" s="4"/>
    </row>
    <row r="29" spans="1:16" ht="16.2" customHeight="1">
      <c r="G29" s="100"/>
    </row>
    <row r="30" spans="1:16" ht="28.8">
      <c r="A30" s="426" t="s">
        <v>323</v>
      </c>
      <c r="B30" s="426" t="s">
        <v>324</v>
      </c>
      <c r="C30" s="426" t="s">
        <v>325</v>
      </c>
      <c r="D30" s="426" t="s">
        <v>326</v>
      </c>
      <c r="E30" s="426" t="s">
        <v>346</v>
      </c>
      <c r="F30" s="426" t="s">
        <v>327</v>
      </c>
      <c r="G30" s="426" t="s">
        <v>347</v>
      </c>
      <c r="H30" s="426" t="s">
        <v>348</v>
      </c>
      <c r="I30" s="426" t="s">
        <v>349</v>
      </c>
    </row>
    <row r="31" spans="1:16" ht="16.2" customHeight="1">
      <c r="A31" s="427" t="s">
        <v>328</v>
      </c>
      <c r="B31" s="431">
        <v>5</v>
      </c>
      <c r="C31" s="431" t="s">
        <v>329</v>
      </c>
      <c r="D31" s="431">
        <v>2</v>
      </c>
      <c r="E31" s="431" t="s">
        <v>330</v>
      </c>
      <c r="F31" s="426" t="s">
        <v>331</v>
      </c>
      <c r="G31" s="431" t="s">
        <v>350</v>
      </c>
      <c r="H31" s="431" t="s">
        <v>351</v>
      </c>
      <c r="I31" s="436">
        <v>7.5</v>
      </c>
    </row>
    <row r="32" spans="1:16" ht="16.2" customHeight="1">
      <c r="A32" s="427" t="s">
        <v>332</v>
      </c>
      <c r="B32" s="431">
        <v>10</v>
      </c>
      <c r="C32" s="431" t="s">
        <v>329</v>
      </c>
      <c r="D32" s="431">
        <v>2</v>
      </c>
      <c r="E32" s="431" t="s">
        <v>333</v>
      </c>
      <c r="F32" s="426" t="s">
        <v>334</v>
      </c>
      <c r="G32" s="431">
        <v>15</v>
      </c>
      <c r="H32" s="431" t="s">
        <v>352</v>
      </c>
      <c r="I32" s="435">
        <v>15</v>
      </c>
    </row>
    <row r="33" spans="1:9" ht="16.2" customHeight="1">
      <c r="A33" s="427" t="s">
        <v>335</v>
      </c>
      <c r="B33" s="431">
        <v>15</v>
      </c>
      <c r="C33" s="431" t="s">
        <v>329</v>
      </c>
      <c r="D33" s="431">
        <v>2</v>
      </c>
      <c r="E33" s="431" t="s">
        <v>336</v>
      </c>
      <c r="F33" s="426" t="s">
        <v>337</v>
      </c>
      <c r="G33" s="431" t="s">
        <v>353</v>
      </c>
      <c r="H33" s="431" t="s">
        <v>354</v>
      </c>
      <c r="I33" s="436">
        <v>22.5</v>
      </c>
    </row>
    <row r="34" spans="1:9" ht="16.2" customHeight="1">
      <c r="A34" s="427" t="s">
        <v>338</v>
      </c>
      <c r="B34" s="431">
        <v>5</v>
      </c>
      <c r="C34" s="431" t="s">
        <v>329</v>
      </c>
      <c r="D34" s="431">
        <v>6</v>
      </c>
      <c r="E34" s="431" t="s">
        <v>339</v>
      </c>
      <c r="F34" s="426" t="s">
        <v>337</v>
      </c>
      <c r="G34" s="431" t="s">
        <v>350</v>
      </c>
      <c r="H34" s="431" t="s">
        <v>355</v>
      </c>
      <c r="I34" s="435">
        <v>18</v>
      </c>
    </row>
    <row r="35" spans="1:9" ht="16.2" customHeight="1">
      <c r="A35" s="427" t="s">
        <v>340</v>
      </c>
      <c r="B35" s="431">
        <v>10</v>
      </c>
      <c r="C35" s="431" t="s">
        <v>329</v>
      </c>
      <c r="D35" s="431">
        <v>6</v>
      </c>
      <c r="E35" s="431" t="s">
        <v>341</v>
      </c>
      <c r="F35" s="426" t="s">
        <v>342</v>
      </c>
      <c r="G35" s="431">
        <v>15</v>
      </c>
      <c r="H35" s="431" t="s">
        <v>356</v>
      </c>
      <c r="I35" s="435">
        <v>36</v>
      </c>
    </row>
    <row r="36" spans="1:9" ht="16.2" customHeight="1">
      <c r="A36" s="427" t="s">
        <v>343</v>
      </c>
      <c r="B36" s="431">
        <v>15</v>
      </c>
      <c r="C36" s="431" t="s">
        <v>329</v>
      </c>
      <c r="D36" s="431">
        <v>6</v>
      </c>
      <c r="E36" s="431" t="s">
        <v>344</v>
      </c>
      <c r="F36" s="426" t="s">
        <v>345</v>
      </c>
      <c r="G36" s="431" t="s">
        <v>353</v>
      </c>
      <c r="H36" s="431" t="s">
        <v>357</v>
      </c>
      <c r="I36" s="435">
        <v>54</v>
      </c>
    </row>
    <row r="37" spans="1:9" ht="16.2" customHeight="1">
      <c r="A37" s="428"/>
      <c r="B37" s="429"/>
      <c r="C37" s="429"/>
      <c r="D37" s="429"/>
      <c r="E37" s="428"/>
      <c r="F37" s="430"/>
    </row>
    <row r="38" spans="1:9" ht="16.2" customHeight="1">
      <c r="A38" s="428"/>
      <c r="B38" s="429"/>
      <c r="C38" s="429"/>
      <c r="D38" s="429"/>
      <c r="E38" s="428"/>
      <c r="F38" s="430"/>
    </row>
    <row r="39" spans="1:9" ht="16.2" customHeight="1">
      <c r="A39" s="428"/>
      <c r="B39" s="429"/>
      <c r="C39" s="429"/>
      <c r="D39" s="429"/>
      <c r="E39" s="428"/>
      <c r="F39" s="430"/>
    </row>
    <row r="40" spans="1:9" ht="16.2" customHeight="1">
      <c r="A40" s="428"/>
      <c r="B40" s="429"/>
      <c r="C40" s="429"/>
      <c r="D40" s="429"/>
      <c r="E40" s="428"/>
      <c r="F40" s="430"/>
    </row>
    <row r="41" spans="1:9" ht="16.2" customHeight="1">
      <c r="A41" s="428"/>
      <c r="B41" s="429"/>
      <c r="C41" s="429"/>
      <c r="D41" s="429"/>
      <c r="E41" s="428"/>
      <c r="F41" s="430"/>
    </row>
    <row r="42" spans="1:9" ht="16.2" customHeight="1">
      <c r="A42" s="428"/>
      <c r="B42" s="429"/>
      <c r="C42" s="429"/>
      <c r="D42" s="429"/>
      <c r="E42" s="428"/>
      <c r="F42" s="430"/>
    </row>
  </sheetData>
  <sheetProtection selectLockedCells="1"/>
  <dataConsolidate/>
  <mergeCells count="2">
    <mergeCell ref="A6:D6"/>
    <mergeCell ref="H6:O6"/>
  </mergeCells>
  <phoneticPr fontId="6" type="noConversion"/>
  <dataValidations disablePrompts="1" count="2">
    <dataValidation type="whole" allowBlank="1" showInputMessage="1" showErrorMessage="1" sqref="O14:O21" xr:uid="{7363642D-389A-4F83-AFD0-575FE5B19E54}">
      <formula1>1</formula1>
      <formula2>5</formula2>
    </dataValidation>
    <dataValidation type="list" allowBlank="1" showInputMessage="1" showErrorMessage="1" sqref="O24:O28" xr:uid="{093EB59B-41C6-4B68-854C-A80E55037717}">
      <formula1>"1,2,3,4,5,6"</formula1>
    </dataValidation>
  </dataValidations>
  <pageMargins left="0.7" right="0.7" top="0.75" bottom="0.75" header="0.3" footer="0.3"/>
  <pageSetup paperSize="9" scale="63" orientation="landscape"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28CF4301-9945-4D65-B145-CF2D122B77D1}">
          <x14:formula1>
            <xm:f>GWP!$B$2:$B$121</xm:f>
          </x14:formula1>
          <xm:sqref>A9:A12</xm:sqref>
        </x14:dataValidation>
        <x14:dataValidation type="list" allowBlank="1" showInputMessage="1" showErrorMessage="1" xr:uid="{C4FCA0E4-EAD5-4D0A-990E-97535C86C0D2}">
          <x14:formula1>
            <xm:f>Masinad!$A$4:$A$173</xm:f>
          </x14:formula1>
          <xm:sqref>A14:A19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671D4-26D7-47DE-80E3-090022F1EB4E}">
  <sheetPr>
    <tabColor rgb="FFFF0000"/>
    <pageSetUpPr fitToPage="1"/>
  </sheetPr>
  <dimension ref="A6:P41"/>
  <sheetViews>
    <sheetView showGridLines="0" zoomScale="70" zoomScaleNormal="70" workbookViewId="0">
      <selection activeCell="D3" sqref="D3"/>
    </sheetView>
  </sheetViews>
  <sheetFormatPr defaultColWidth="17.109375" defaultRowHeight="15"/>
  <cols>
    <col min="1" max="1" width="27.21875" style="33" bestFit="1" customWidth="1"/>
    <col min="2" max="2" width="17.21875" style="33" bestFit="1" customWidth="1"/>
    <col min="3" max="3" width="15" style="33" bestFit="1" customWidth="1"/>
    <col min="4" max="4" width="12.44140625" style="33" bestFit="1" customWidth="1"/>
    <col min="5" max="5" width="21.6640625" style="33" bestFit="1" customWidth="1"/>
    <col min="6" max="6" width="22.88671875" style="6" bestFit="1" customWidth="1"/>
    <col min="7" max="7" width="20.77734375" style="33" bestFit="1" customWidth="1"/>
    <col min="8" max="8" width="12.21875" style="33" bestFit="1" customWidth="1"/>
    <col min="9" max="9" width="11.88671875" style="33" bestFit="1" customWidth="1"/>
    <col min="10" max="10" width="16.77734375" style="33" bestFit="1" customWidth="1"/>
    <col min="11" max="11" width="9" style="33" bestFit="1" customWidth="1"/>
    <col min="12" max="12" width="9.109375" style="33" bestFit="1" customWidth="1"/>
    <col min="13" max="13" width="10.6640625" style="33" bestFit="1" customWidth="1"/>
    <col min="14" max="14" width="11.21875" style="33" bestFit="1" customWidth="1"/>
    <col min="15" max="15" width="18.33203125" style="33" bestFit="1" customWidth="1"/>
    <col min="16" max="16" width="7.88671875" style="6" customWidth="1"/>
    <col min="17" max="16384" width="17.109375" style="33"/>
  </cols>
  <sheetData>
    <row r="6" spans="1:16" ht="22.8">
      <c r="A6" s="516" t="s">
        <v>190</v>
      </c>
      <c r="B6" s="516"/>
      <c r="C6" s="516"/>
      <c r="D6" s="517"/>
      <c r="E6" s="237">
        <f>E8+E13+E23</f>
        <v>2.4098339165361207</v>
      </c>
      <c r="F6" s="421">
        <v>10</v>
      </c>
      <c r="H6" s="518" t="s">
        <v>316</v>
      </c>
      <c r="I6" s="518"/>
      <c r="J6" s="518"/>
      <c r="K6" s="518"/>
      <c r="L6" s="518"/>
      <c r="M6" s="518"/>
      <c r="N6" s="518"/>
      <c r="O6" s="518"/>
      <c r="P6" s="33"/>
    </row>
    <row r="7" spans="1:16" ht="15.6">
      <c r="A7" s="145"/>
      <c r="B7" s="146"/>
      <c r="C7" s="146" t="s">
        <v>13</v>
      </c>
      <c r="D7" s="146"/>
      <c r="E7" s="146"/>
      <c r="F7" s="417"/>
      <c r="H7" s="147"/>
      <c r="I7" s="147"/>
      <c r="J7" s="147"/>
      <c r="K7" s="147"/>
      <c r="L7" s="147"/>
      <c r="M7" s="147"/>
      <c r="N7" s="146" t="s">
        <v>5</v>
      </c>
      <c r="O7" s="146" t="s">
        <v>215</v>
      </c>
      <c r="P7" s="33"/>
    </row>
    <row r="8" spans="1:16" ht="15.6">
      <c r="A8" s="148" t="s">
        <v>143</v>
      </c>
      <c r="B8" s="149"/>
      <c r="C8" s="150"/>
      <c r="D8" s="151"/>
      <c r="E8" s="152">
        <f>SUM(E9:E12)</f>
        <v>0.95000000000000007</v>
      </c>
      <c r="F8" s="423">
        <f>E6/F6*1000</f>
        <v>240.98339165361207</v>
      </c>
      <c r="G8" s="42"/>
      <c r="H8" s="153"/>
      <c r="I8" s="154"/>
      <c r="J8" s="154"/>
      <c r="K8" s="154"/>
      <c r="L8" s="154"/>
      <c r="M8" s="154"/>
      <c r="N8" s="151"/>
      <c r="O8" s="151"/>
      <c r="P8" s="33"/>
    </row>
    <row r="9" spans="1:16">
      <c r="A9" s="155" t="s">
        <v>279</v>
      </c>
      <c r="B9" s="156"/>
      <c r="C9" s="157">
        <v>100</v>
      </c>
      <c r="D9" s="158"/>
      <c r="E9" s="159">
        <f>IF(C9="","",IFERROR(C9*O9,""))</f>
        <v>0.25</v>
      </c>
      <c r="F9" s="422"/>
      <c r="G9" s="42"/>
      <c r="H9" s="136"/>
      <c r="I9" s="160"/>
      <c r="J9" s="160"/>
      <c r="K9" s="160"/>
      <c r="L9" s="160"/>
      <c r="M9" s="160"/>
      <c r="O9" s="161">
        <f>IF(A9="","",(_xlfn.XLOOKUP(A9,GWP!$B$3:$B$121,GWP!$D$3:$D$121)))</f>
        <v>2.5000000000000001E-3</v>
      </c>
      <c r="P9" s="33"/>
    </row>
    <row r="10" spans="1:16">
      <c r="A10" s="155" t="s">
        <v>322</v>
      </c>
      <c r="B10" s="156"/>
      <c r="C10" s="157">
        <v>10</v>
      </c>
      <c r="D10" s="162"/>
      <c r="E10" s="159">
        <f>IF(C10="","",IFERROR(C10*O10,""))</f>
        <v>0.70000000000000007</v>
      </c>
      <c r="H10" s="136"/>
      <c r="I10" s="160"/>
      <c r="J10" s="160"/>
      <c r="K10" s="160"/>
      <c r="L10" s="160"/>
      <c r="M10" s="160"/>
      <c r="N10" s="161"/>
      <c r="O10" s="161">
        <f>IF(A10="","",(_xlfn.XLOOKUP(A10,GWP!$B$3:$B$121,GWP!$D$3:$D$121)))</f>
        <v>7.0000000000000007E-2</v>
      </c>
      <c r="P10" s="33"/>
    </row>
    <row r="11" spans="1:16" ht="15.6">
      <c r="A11" s="155"/>
      <c r="B11" s="163"/>
      <c r="C11" s="157"/>
      <c r="D11" s="163"/>
      <c r="E11" s="159" t="str">
        <f>IF(C11="","",IFERROR(C11*O11,""))</f>
        <v/>
      </c>
      <c r="H11" s="136"/>
      <c r="I11" s="136"/>
      <c r="J11" s="136"/>
      <c r="K11" s="136"/>
      <c r="L11" s="136"/>
      <c r="M11" s="136"/>
      <c r="N11" s="163"/>
      <c r="O11" s="161" t="str">
        <f>IF(A11="","",(_xlfn.XLOOKUP(A11,GWP!$B$3:$B$121,GWP!$D$3:$D$121)))</f>
        <v/>
      </c>
      <c r="P11" s="33"/>
    </row>
    <row r="12" spans="1:16" ht="15.6">
      <c r="A12" s="155"/>
      <c r="B12" s="163"/>
      <c r="C12" s="163"/>
      <c r="D12" s="163"/>
      <c r="E12" s="159" t="str">
        <f>IF(C12="","",IFERROR(C12*O12,""))</f>
        <v/>
      </c>
      <c r="H12" s="136"/>
      <c r="I12" s="136"/>
      <c r="J12" s="136"/>
      <c r="K12" s="136"/>
      <c r="L12" s="136"/>
      <c r="M12" s="136"/>
      <c r="N12" s="163"/>
      <c r="O12" s="161" t="str">
        <f>IF(A12="","",(_xlfn.XLOOKUP(A12,GWP!$B$3:$B$121,GWP!$D$3:$D$121)))</f>
        <v/>
      </c>
      <c r="P12" s="33"/>
    </row>
    <row r="13" spans="1:16" ht="15.6">
      <c r="A13" s="164" t="s">
        <v>15</v>
      </c>
      <c r="B13" s="165"/>
      <c r="C13" s="165" t="s">
        <v>239</v>
      </c>
      <c r="D13" s="166" t="s">
        <v>144</v>
      </c>
      <c r="E13" s="152">
        <f>SUM(E14:E22)</f>
        <v>1.0268580774211027</v>
      </c>
      <c r="H13" s="153"/>
      <c r="I13" s="154"/>
      <c r="J13" s="154"/>
      <c r="K13" s="154"/>
      <c r="L13" s="154"/>
      <c r="M13" s="154"/>
      <c r="N13" s="167" t="s">
        <v>5</v>
      </c>
      <c r="O13" s="167" t="s">
        <v>7</v>
      </c>
      <c r="P13" s="33"/>
    </row>
    <row r="14" spans="1:16" ht="15.6">
      <c r="A14" s="168" t="s">
        <v>139</v>
      </c>
      <c r="B14" s="236"/>
      <c r="C14" s="236">
        <f>C9/10</f>
        <v>10</v>
      </c>
      <c r="D14" s="162"/>
      <c r="E14" s="171">
        <f t="shared" ref="E14:E19" si="0">IF(C14="","",IFERROR(N14*0.53*(0.6957*O14^-0.095)*C14/1000,""))</f>
        <v>0.52213122580734039</v>
      </c>
      <c r="F14" s="185"/>
      <c r="G14" s="173"/>
      <c r="H14" s="136"/>
      <c r="I14" s="174"/>
      <c r="J14" s="174"/>
      <c r="K14" s="174"/>
      <c r="L14" s="174"/>
      <c r="M14" s="174"/>
      <c r="N14" s="170">
        <f>Masinad!D64</f>
        <v>165</v>
      </c>
      <c r="O14" s="175">
        <v>5</v>
      </c>
      <c r="P14" s="33"/>
    </row>
    <row r="15" spans="1:16" ht="15.6">
      <c r="A15" s="168" t="s">
        <v>140</v>
      </c>
      <c r="B15" s="236"/>
      <c r="C15" s="236">
        <f>C14</f>
        <v>10</v>
      </c>
      <c r="D15" s="162"/>
      <c r="E15" s="171">
        <f t="shared" si="0"/>
        <v>0.37656736891559689</v>
      </c>
      <c r="F15" s="185"/>
      <c r="G15" s="173"/>
      <c r="H15" s="136"/>
      <c r="I15" s="174"/>
      <c r="J15" s="174"/>
      <c r="K15" s="174"/>
      <c r="L15" s="174"/>
      <c r="M15" s="174"/>
      <c r="N15" s="170">
        <f>Masinad!D75</f>
        <v>119</v>
      </c>
      <c r="O15" s="175">
        <v>5</v>
      </c>
      <c r="P15" s="33"/>
    </row>
    <row r="16" spans="1:16" ht="15.6">
      <c r="A16" s="168" t="s">
        <v>127</v>
      </c>
      <c r="B16" s="236"/>
      <c r="C16" s="236">
        <f>C14/2</f>
        <v>5</v>
      </c>
      <c r="D16" s="162"/>
      <c r="E16" s="171">
        <f t="shared" si="0"/>
        <v>0.12815948269816532</v>
      </c>
      <c r="F16" s="185"/>
      <c r="G16" s="173"/>
      <c r="H16" s="136"/>
      <c r="I16" s="174"/>
      <c r="J16" s="174"/>
      <c r="K16" s="174"/>
      <c r="L16" s="174"/>
      <c r="M16" s="174"/>
      <c r="N16" s="170">
        <f>Masinad!D149</f>
        <v>81</v>
      </c>
      <c r="O16" s="175">
        <v>5</v>
      </c>
      <c r="P16" s="33"/>
    </row>
    <row r="17" spans="1:16" ht="15.6">
      <c r="A17" s="168"/>
      <c r="B17" s="236"/>
      <c r="C17" s="236"/>
      <c r="D17" s="162"/>
      <c r="E17" s="171" t="str">
        <f t="shared" si="0"/>
        <v/>
      </c>
      <c r="F17" s="185"/>
      <c r="G17" s="173"/>
      <c r="H17" s="136"/>
      <c r="I17" s="174"/>
      <c r="J17" s="174"/>
      <c r="K17" s="174"/>
      <c r="L17" s="174"/>
      <c r="M17" s="174"/>
      <c r="N17" s="170"/>
      <c r="O17" s="175"/>
      <c r="P17" s="33"/>
    </row>
    <row r="18" spans="1:16" ht="15.6">
      <c r="A18" s="168"/>
      <c r="B18" s="236"/>
      <c r="C18" s="236"/>
      <c r="D18" s="162"/>
      <c r="E18" s="171" t="str">
        <f t="shared" si="0"/>
        <v/>
      </c>
      <c r="F18" s="185"/>
      <c r="G18" s="173"/>
      <c r="H18" s="136"/>
      <c r="I18" s="174"/>
      <c r="J18" s="174"/>
      <c r="K18" s="174"/>
      <c r="L18" s="174"/>
      <c r="M18" s="174"/>
      <c r="N18" s="170"/>
      <c r="O18" s="175"/>
      <c r="P18" s="33"/>
    </row>
    <row r="19" spans="1:16" ht="15.6">
      <c r="A19" s="168"/>
      <c r="B19" s="236"/>
      <c r="C19" s="169"/>
      <c r="D19" s="162"/>
      <c r="E19" s="171" t="str">
        <f t="shared" si="0"/>
        <v/>
      </c>
      <c r="F19" s="185"/>
      <c r="G19" s="173"/>
      <c r="H19" s="136"/>
      <c r="I19" s="174"/>
      <c r="J19" s="174"/>
      <c r="K19" s="174"/>
      <c r="L19" s="174"/>
      <c r="M19" s="174"/>
      <c r="N19" s="170"/>
      <c r="O19" s="175"/>
      <c r="P19" s="33"/>
    </row>
    <row r="20" spans="1:16" ht="15.6">
      <c r="A20" s="168"/>
      <c r="B20" s="169"/>
      <c r="C20" s="162"/>
      <c r="D20" s="170"/>
      <c r="E20" s="171" t="str">
        <f t="shared" ref="E20:E22" si="1">IF(B20="","",IFERROR(N20*0.53*(0.6957*O20^-0.095)*B20/1000,""))</f>
        <v/>
      </c>
      <c r="F20" s="172"/>
      <c r="G20" s="176"/>
      <c r="H20" s="136"/>
      <c r="I20" s="174"/>
      <c r="J20" s="174"/>
      <c r="K20" s="174"/>
      <c r="L20" s="174"/>
      <c r="M20" s="174"/>
      <c r="N20" s="170"/>
      <c r="O20" s="175"/>
      <c r="P20" s="33"/>
    </row>
    <row r="21" spans="1:16" ht="15.6">
      <c r="A21" s="168"/>
      <c r="B21" s="169"/>
      <c r="C21" s="162"/>
      <c r="D21" s="170"/>
      <c r="E21" s="171" t="str">
        <f t="shared" si="1"/>
        <v/>
      </c>
      <c r="F21" s="172"/>
      <c r="G21" s="176"/>
      <c r="H21" s="136"/>
      <c r="I21" s="174"/>
      <c r="J21" s="174"/>
      <c r="K21" s="174"/>
      <c r="L21" s="174"/>
      <c r="M21" s="174"/>
      <c r="N21" s="170"/>
      <c r="O21" s="175"/>
      <c r="P21" s="33"/>
    </row>
    <row r="22" spans="1:16" ht="15.6">
      <c r="A22" s="178"/>
      <c r="B22" s="156"/>
      <c r="C22" s="157"/>
      <c r="D22" s="162"/>
      <c r="E22" s="171" t="str">
        <f t="shared" si="1"/>
        <v/>
      </c>
      <c r="F22" s="172"/>
      <c r="G22" s="176"/>
      <c r="H22" s="136"/>
      <c r="I22" s="179"/>
      <c r="J22" s="179"/>
      <c r="K22" s="179"/>
      <c r="L22" s="179"/>
      <c r="M22" s="179"/>
      <c r="N22" s="162"/>
      <c r="O22" s="162"/>
      <c r="P22" s="33"/>
    </row>
    <row r="23" spans="1:16" ht="15.6">
      <c r="A23" s="164" t="s">
        <v>182</v>
      </c>
      <c r="B23" s="180" t="s">
        <v>144</v>
      </c>
      <c r="C23" s="181" t="s">
        <v>13</v>
      </c>
      <c r="D23" s="181" t="s">
        <v>183</v>
      </c>
      <c r="E23" s="433">
        <f>SUM(E24:E25)</f>
        <v>0.43297583911501758</v>
      </c>
      <c r="F23" s="172"/>
      <c r="G23" s="176"/>
      <c r="H23" s="182" t="s">
        <v>135</v>
      </c>
      <c r="I23" s="182" t="s">
        <v>136</v>
      </c>
      <c r="J23" s="182" t="s">
        <v>184</v>
      </c>
      <c r="K23" s="183" t="s">
        <v>133</v>
      </c>
      <c r="L23" s="183" t="s">
        <v>318</v>
      </c>
      <c r="M23" s="183" t="s">
        <v>166</v>
      </c>
      <c r="N23" s="183" t="s">
        <v>5</v>
      </c>
      <c r="O23" s="183" t="s">
        <v>137</v>
      </c>
      <c r="P23" s="33"/>
    </row>
    <row r="24" spans="1:16" ht="15.6">
      <c r="A24" s="168" t="s">
        <v>321</v>
      </c>
      <c r="B24" s="169"/>
      <c r="C24" s="184">
        <f>C9</f>
        <v>100</v>
      </c>
      <c r="D24" s="416">
        <v>50</v>
      </c>
      <c r="E24" s="238">
        <f>IF(AND(B24=0,C24=0,D24=0),"",IFERROR((
IF(AND(C24&gt;0,D24&gt;0),
ROUNDUP(C24/MAX(M24,1),0)*
MIN(N24,ROUNDUP((K24+L24+M24)/0.136,-1)*1.07)*
D24*
IF(OR(ISTEXT(D24),D24&lt;5),0.52,
IF(D24&lt;50,MAX(-0.0014*D24+0.46,0.39),
IF(D24&lt;=100,-0.0014*D24+0.45,0.31)))*
(0.6957*O24^-0.088)/(80/2),
0)
+
IF(AND(C24=0,D24&gt;0),
MIN(N24,ROUNDUP((K24+L24+M24)/0.136,-1)*1.07)*
D24*
IF(OR(ISTEXT(D24),D24&lt;5),0.52,
IF(D24&lt;50,MAX(-0.0014*D24+0.46,0.39),
IF(D24&lt;=100,-0.0014*D24+0.45,0.31)))*
(0.6957*O24^-0.088)/80,
0)
+
IF(B24&gt;0,
B24*
MIN(N24,ROUNDUP((K24+L24+M24)/0.136,-1)*1.07)*
0.52*
(0.6957*O24^-0.088),
0)
)/1000,""))</f>
        <v>0.37257373378867226</v>
      </c>
      <c r="F24" s="185"/>
      <c r="G24" s="369"/>
      <c r="H24" s="186">
        <f>K24+L24+M24</f>
        <v>44</v>
      </c>
      <c r="I24" s="186"/>
      <c r="J24" s="186"/>
      <c r="K24" s="177">
        <v>9</v>
      </c>
      <c r="L24" s="177">
        <v>7</v>
      </c>
      <c r="M24" s="187">
        <v>28</v>
      </c>
      <c r="N24" s="170">
        <v>330</v>
      </c>
      <c r="O24" s="4">
        <v>6</v>
      </c>
      <c r="P24" s="33"/>
    </row>
    <row r="25" spans="1:16" ht="15" customHeight="1">
      <c r="A25" s="168" t="s">
        <v>439</v>
      </c>
      <c r="B25" s="169"/>
      <c r="C25" s="184">
        <f>C10</f>
        <v>10</v>
      </c>
      <c r="D25" s="416">
        <v>50</v>
      </c>
      <c r="E25" s="238">
        <f>IF(AND(B25=0,C25=0,D25=0),"",IFERROR((
IF(AND(C25&gt;0,D25&gt;0),
ROUNDUP(C25/MAX(M25,1),0)*
MIN(N25,ROUNDUP((K25+L25+M25)/0.136,-1)*1.07)*
D25*
IF(OR(ISTEXT(D25),D25&lt;5),0.52,
IF(D25&lt;50,MAX(-0.0014*D25+0.46,0.39),
IF(D25&lt;=100,-0.0014*D25+0.45,0.31)))*
(0.6957*O25^-0.088)/(80/2),
0)
+
IF(AND(C25=0,D25&gt;0),
MIN(N25,ROUNDUP((K25+L25+M25)/0.136,-1)*1.07)*
D25*
IF(OR(ISTEXT(D25),D25&lt;5),0.52,
IF(D25&lt;50,MAX(-0.0014*D25+0.46,0.39),
IF(D25&lt;=100,-0.0014*D25+0.45,0.31)))*
(0.6957*O25^-0.088)/80,
0)
+
IF(B25&gt;0,
B25*
MIN(N25,ROUNDUP((K25+L25+M25)/0.136,-1)*1.07)*
0.52*
(0.6957*O25^-0.088),
0)
)/1000,""))</f>
        <v>6.0402105326345351E-2</v>
      </c>
      <c r="F25" s="185"/>
      <c r="G25" s="369"/>
      <c r="H25" s="186">
        <f>K25+L25+M25</f>
        <v>26</v>
      </c>
      <c r="I25" s="186"/>
      <c r="J25" s="186"/>
      <c r="K25" s="177">
        <v>13</v>
      </c>
      <c r="L25" s="177"/>
      <c r="M25" s="187">
        <v>13</v>
      </c>
      <c r="N25" s="170">
        <v>250</v>
      </c>
      <c r="O25" s="4">
        <v>6</v>
      </c>
      <c r="P25" s="188"/>
    </row>
    <row r="26" spans="1:16" ht="15.6">
      <c r="A26" s="168"/>
      <c r="B26" s="169"/>
      <c r="C26" s="184"/>
      <c r="D26" s="416"/>
      <c r="E26" s="238" t="str">
        <f>IF(AND(B26=0,C26=0,D26=0),"",IFERROR((
IF(AND(C26&gt;0,D26&gt;0),
ROUNDUP(C26/MAX(M26,1),0)*
MIN(N26,ROUNDUP((K26+L26+M26)/0.136,-1)*1.07)*
D26*
IF(OR(ISTEXT(D26),D26&lt;5),0.52,
IF(D26&lt;50,MAX(-0.0014*D26+0.46,0.39),
IF(D26&lt;=100,-0.0014*D26+0.45,0.31)))*
(0.6957*O26^-0.088)/(80/2),
0)
+
IF(AND(C26=0,D26&gt;0),
MIN(N26,ROUNDUP((K26+L26+M26)/0.136,-1)*1.07)*
D26*
IF(OR(ISTEXT(D26),D26&lt;5),0.52,
IF(D26&lt;50,MAX(-0.0014*D26+0.46,0.39),
IF(D26&lt;=100,-0.0014*D26+0.45,0.31)))*
(0.6957*O26^-0.088)/80,
0)
+
IF(B26&gt;0,
B26*
MIN(N26,ROUNDUP((K26+L26+M26)/0.136,-1)*1.07)*
0.52*
(0.6957*O26^-0.088),
0)
)/1000,""))</f>
        <v/>
      </c>
      <c r="F26" s="185"/>
      <c r="G26" s="369"/>
      <c r="H26" s="186"/>
      <c r="I26" s="186"/>
      <c r="J26" s="186"/>
      <c r="K26" s="177"/>
      <c r="L26" s="177"/>
      <c r="M26" s="187"/>
      <c r="N26" s="170"/>
      <c r="O26" s="4"/>
    </row>
    <row r="27" spans="1:16" ht="16.2" customHeight="1">
      <c r="A27" s="168"/>
      <c r="B27" s="169"/>
      <c r="C27" s="184"/>
      <c r="D27" s="416"/>
      <c r="E27" s="238" t="str">
        <f>IF(AND(B27=0,C27=0,D27=0),"",IFERROR((
IF(AND(C27&gt;0,D27&gt;0),
ROUNDUP(C27/MAX(M27,1),0)*
MIN(N27,ROUNDUP((K27+L27+M27)/0.136,-1)*1.07)*
D27*
IF(OR(ISTEXT(D27),D27&lt;5),0.52,
IF(D27&lt;50,MAX(-0.0014*D27+0.46,0.39),
IF(D27&lt;=100,-0.0014*D27+0.45,0.31)))*
(0.6957*O27^-0.088)/(80/2),
0)
+
IF(AND(C27=0,D27&gt;0),
MIN(N27,ROUNDUP((K27+L27+M27)/0.136,-1)*1.07)*
D27*
IF(OR(ISTEXT(D27),D27&lt;5),0.52,
IF(D27&lt;50,MAX(-0.0014*D27+0.46,0.39),
IF(D27&lt;=100,-0.0014*D27+0.45,0.31)))*
(0.6957*O27^-0.088)/80,
0)
+
IF(B27&gt;0,
B27*
MIN(N27,ROUNDUP((K27+L27+M27)/0.136,-1)*1.07)*
0.52*
(0.6957*O27^-0.088),
0)
)/1000,""))</f>
        <v/>
      </c>
      <c r="F27" s="185"/>
      <c r="G27" s="369"/>
      <c r="H27" s="186"/>
      <c r="I27" s="186"/>
      <c r="J27" s="186"/>
      <c r="K27" s="177"/>
      <c r="L27" s="177"/>
      <c r="M27" s="187"/>
      <c r="N27" s="170"/>
      <c r="O27" s="4"/>
    </row>
    <row r="28" spans="1:16" ht="16.2" customHeight="1">
      <c r="A28" s="168"/>
      <c r="B28" s="169"/>
      <c r="C28" s="184"/>
      <c r="D28" s="416"/>
      <c r="E28" s="238" t="str">
        <f>IF(AND(B28=0,C28=0,D28=0),"",IFERROR((
IF(AND(C28&gt;0,D28&gt;0),
ROUNDUP(C28/MAX(M28,1),0)*
MIN(N28,ROUNDUP((K28+L28+M28)/0.136,-1)*1.07)*
D28*
IF(OR(ISTEXT(D28),D28&lt;5),0.52,
IF(D28&lt;50,MAX(-0.0014*D28+0.46,0.39),
IF(D28&lt;=100,-0.0014*D28+0.45,0.31)))*
(0.6957*O28^-0.088)/(80/2),
0)
+
IF(AND(C28=0,D28&gt;0),
MIN(N28,ROUNDUP((K28+L28+M28)/0.136,-1)*1.07)*
D28*
IF(OR(ISTEXT(D28),D28&lt;5),0.52,
IF(D28&lt;50,MAX(-0.0014*D28+0.46,0.39),
IF(D28&lt;=100,-0.0014*D28+0.45,0.31)))*
(0.6957*O28^-0.088)/80,
0)
+
IF(B28&gt;0,
B28*
MIN(N28,ROUNDUP((K28+L28+M28)/0.136,-1)*1.07)*
0.52*
(0.6957*O28^-0.088),
0)
)/1000,""))</f>
        <v/>
      </c>
      <c r="F28" s="185"/>
      <c r="G28" s="369"/>
      <c r="H28" s="186"/>
      <c r="I28" s="186"/>
      <c r="J28" s="186"/>
      <c r="K28" s="177"/>
      <c r="L28" s="177"/>
      <c r="M28" s="187"/>
      <c r="N28" s="170"/>
      <c r="O28" s="4"/>
    </row>
    <row r="29" spans="1:16" ht="16.2" customHeight="1">
      <c r="G29" s="100"/>
    </row>
    <row r="30" spans="1:16" ht="16.2" customHeight="1">
      <c r="A30" s="420"/>
      <c r="B30" s="420"/>
      <c r="C30" s="420"/>
      <c r="D30" s="420"/>
      <c r="E30" s="420"/>
      <c r="F30" s="420"/>
      <c r="G30" s="420"/>
    </row>
    <row r="31" spans="1:16" ht="16.2" customHeight="1">
      <c r="A31" s="420"/>
      <c r="B31" s="420"/>
      <c r="C31" s="420"/>
      <c r="D31" s="420"/>
      <c r="E31" s="420"/>
      <c r="F31" s="420"/>
      <c r="G31" s="420"/>
    </row>
    <row r="32" spans="1:16" ht="16.2" customHeight="1">
      <c r="A32" s="420"/>
      <c r="B32" s="420"/>
      <c r="C32" s="420"/>
      <c r="D32" s="420"/>
      <c r="E32" s="420"/>
      <c r="F32" s="420"/>
      <c r="G32" s="420"/>
    </row>
    <row r="33" spans="1:7" ht="16.2" customHeight="1">
      <c r="A33" s="420"/>
      <c r="B33" s="420"/>
      <c r="C33" s="420"/>
      <c r="D33" s="420"/>
      <c r="E33" s="420"/>
      <c r="F33" s="420"/>
      <c r="G33" s="420"/>
    </row>
    <row r="34" spans="1:7" ht="16.2" customHeight="1">
      <c r="A34" s="420"/>
      <c r="B34" s="420"/>
      <c r="C34" s="420"/>
      <c r="D34" s="420"/>
      <c r="E34" s="420"/>
      <c r="F34" s="420"/>
      <c r="G34" s="420"/>
    </row>
    <row r="35" spans="1:7" ht="16.2" customHeight="1">
      <c r="A35" s="420"/>
      <c r="B35" s="420"/>
      <c r="C35" s="420"/>
      <c r="D35" s="420"/>
      <c r="E35" s="420"/>
      <c r="F35" s="420"/>
      <c r="G35" s="420"/>
    </row>
    <row r="36" spans="1:7" ht="16.2" customHeight="1">
      <c r="A36" s="420"/>
      <c r="B36" s="420"/>
      <c r="C36" s="420"/>
      <c r="D36" s="420"/>
      <c r="E36" s="420"/>
      <c r="F36" s="420"/>
      <c r="G36" s="420"/>
    </row>
    <row r="37" spans="1:7" ht="16.2" customHeight="1"/>
    <row r="38" spans="1:7" ht="16.2" customHeight="1"/>
    <row r="39" spans="1:7" ht="16.2" customHeight="1"/>
    <row r="40" spans="1:7" ht="16.2" customHeight="1"/>
    <row r="41" spans="1:7" ht="16.2" customHeight="1"/>
  </sheetData>
  <sheetProtection selectLockedCells="1"/>
  <dataConsolidate/>
  <mergeCells count="2">
    <mergeCell ref="A6:D6"/>
    <mergeCell ref="H6:O6"/>
  </mergeCells>
  <dataValidations count="2">
    <dataValidation type="whole" allowBlank="1" showInputMessage="1" showErrorMessage="1" sqref="O14:O21" xr:uid="{FCBCB263-4B6D-469E-A2F0-4C9D2C9941EB}">
      <formula1>1</formula1>
      <formula2>5</formula2>
    </dataValidation>
    <dataValidation type="list" allowBlank="1" showInputMessage="1" showErrorMessage="1" sqref="O24:O28" xr:uid="{52C55090-9ECE-4237-A80A-B04CDA337BA8}">
      <formula1>"1,2,3,4,5,6"</formula1>
    </dataValidation>
  </dataValidations>
  <pageMargins left="0.7" right="0.7" top="0.75" bottom="0.75" header="0.3" footer="0.3"/>
  <pageSetup paperSize="9" scale="6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C402482-1993-4D16-8C0C-40FDF8CFE939}">
          <x14:formula1>
            <xm:f>Masinad!$A$4:$A$173</xm:f>
          </x14:formula1>
          <xm:sqref>A14:A19</xm:sqref>
        </x14:dataValidation>
        <x14:dataValidation type="list" allowBlank="1" showInputMessage="1" showErrorMessage="1" xr:uid="{AE259C12-1376-4D26-AE16-49D23672D56F}">
          <x14:formula1>
            <xm:f>GWP!$B$2:$B$121</xm:f>
          </x14:formula1>
          <xm:sqref>A9:A12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AF0EB-B6D6-4F1F-9EDC-248802DE262B}">
  <dimension ref="A1:N95"/>
  <sheetViews>
    <sheetView tabSelected="1" topLeftCell="A35" zoomScale="70" zoomScaleNormal="70" workbookViewId="0">
      <selection activeCell="A58" sqref="A58:G77"/>
    </sheetView>
  </sheetViews>
  <sheetFormatPr defaultRowHeight="13.2"/>
  <cols>
    <col min="1" max="1" width="22.77734375" style="472" customWidth="1"/>
    <col min="2" max="2" width="17.109375" style="466" bestFit="1" customWidth="1"/>
    <col min="3" max="3" width="15.33203125" style="466" customWidth="1"/>
    <col min="4" max="4" width="15.77734375" style="466" customWidth="1"/>
    <col min="5" max="5" width="13.21875" style="466" customWidth="1"/>
    <col min="6" max="6" width="12.77734375" style="466" bestFit="1" customWidth="1"/>
    <col min="7" max="7" width="19.5546875" style="466" bestFit="1" customWidth="1"/>
    <col min="8" max="8" width="10.6640625" style="466" customWidth="1"/>
    <col min="9" max="9" width="15.44140625" style="466" bestFit="1" customWidth="1"/>
    <col min="10" max="10" width="10.77734375" style="466" bestFit="1" customWidth="1"/>
    <col min="11" max="11" width="17.77734375" style="466" customWidth="1"/>
    <col min="12" max="16384" width="8.88671875" style="466"/>
  </cols>
  <sheetData>
    <row r="1" spans="1:11" ht="20.85" customHeight="1">
      <c r="A1" s="499" t="s">
        <v>359</v>
      </c>
      <c r="B1" s="499"/>
      <c r="C1" s="499"/>
      <c r="D1" s="465"/>
      <c r="E1" s="465"/>
      <c r="F1" s="465"/>
      <c r="G1" s="465"/>
      <c r="H1" s="465"/>
      <c r="I1" s="465"/>
      <c r="J1" s="465"/>
    </row>
    <row r="3" spans="1:11" ht="17.55" customHeight="1">
      <c r="A3" s="467" t="s">
        <v>360</v>
      </c>
      <c r="B3" s="468"/>
      <c r="C3" s="468" t="s">
        <v>361</v>
      </c>
      <c r="D3" s="468" t="s">
        <v>134</v>
      </c>
      <c r="E3" s="469" t="s">
        <v>362</v>
      </c>
      <c r="F3" s="470"/>
      <c r="G3" s="470"/>
      <c r="H3" s="470"/>
      <c r="I3" s="470"/>
      <c r="J3" s="470"/>
      <c r="K3" s="470"/>
    </row>
    <row r="4" spans="1:11">
      <c r="A4" s="437" t="s">
        <v>363</v>
      </c>
      <c r="B4" s="438"/>
      <c r="C4" s="439">
        <v>10</v>
      </c>
      <c r="D4" s="440" t="s">
        <v>364</v>
      </c>
      <c r="E4" s="441" t="s">
        <v>397</v>
      </c>
      <c r="F4" s="470"/>
      <c r="G4" s="470"/>
    </row>
    <row r="5" spans="1:11" ht="26.4">
      <c r="A5" s="442" t="s">
        <v>325</v>
      </c>
      <c r="B5" s="443"/>
      <c r="C5" s="444">
        <v>3</v>
      </c>
      <c r="D5" s="445" t="s">
        <v>365</v>
      </c>
      <c r="E5" s="446" t="s">
        <v>366</v>
      </c>
      <c r="G5" s="471"/>
    </row>
    <row r="6" spans="1:11">
      <c r="A6" s="442" t="s">
        <v>402</v>
      </c>
      <c r="B6" s="443"/>
      <c r="C6" s="447">
        <f>Talihoole!E24/Talihoole!D24</f>
        <v>5.6666711970637163E-4</v>
      </c>
      <c r="D6" s="445" t="s">
        <v>367</v>
      </c>
      <c r="E6" s="446" t="s">
        <v>407</v>
      </c>
      <c r="G6" s="471"/>
    </row>
    <row r="7" spans="1:11">
      <c r="A7" s="442" t="s">
        <v>401</v>
      </c>
      <c r="B7" s="443"/>
      <c r="C7" s="448">
        <f>GWP!D109</f>
        <v>7.0000000000000007E-2</v>
      </c>
      <c r="D7" s="445" t="s">
        <v>369</v>
      </c>
      <c r="E7" s="446"/>
      <c r="G7" s="471"/>
    </row>
    <row r="8" spans="1:11">
      <c r="A8" s="442" t="s">
        <v>371</v>
      </c>
      <c r="B8" s="443"/>
      <c r="C8" s="444">
        <v>50</v>
      </c>
      <c r="D8" s="445" t="s">
        <v>398</v>
      </c>
      <c r="E8" s="446" t="s">
        <v>408</v>
      </c>
    </row>
    <row r="9" spans="1:11" ht="26.4">
      <c r="A9" s="442" t="s">
        <v>372</v>
      </c>
      <c r="B9" s="443"/>
      <c r="C9" s="444">
        <v>0.5</v>
      </c>
      <c r="D9" s="445" t="s">
        <v>373</v>
      </c>
      <c r="E9" s="446" t="s">
        <v>409</v>
      </c>
      <c r="F9" s="470"/>
      <c r="G9" s="470"/>
      <c r="H9" s="470"/>
      <c r="I9" s="470"/>
      <c r="J9" s="470"/>
      <c r="K9" s="470"/>
    </row>
    <row r="10" spans="1:11">
      <c r="A10" s="442" t="s">
        <v>400</v>
      </c>
      <c r="B10" s="443"/>
      <c r="C10" s="449">
        <f>GWP!D61</f>
        <v>2.5000000000000001E-3</v>
      </c>
      <c r="D10" s="445" t="s">
        <v>369</v>
      </c>
      <c r="E10" s="446" t="s">
        <v>399</v>
      </c>
      <c r="F10" s="470"/>
      <c r="G10" s="470"/>
      <c r="H10" s="470"/>
    </row>
    <row r="11" spans="1:11">
      <c r="A11" s="442" t="s">
        <v>430</v>
      </c>
      <c r="B11" s="443"/>
      <c r="C11" s="450">
        <v>1</v>
      </c>
      <c r="D11" s="445" t="s">
        <v>375</v>
      </c>
      <c r="E11" s="446"/>
      <c r="G11" s="471"/>
    </row>
    <row r="12" spans="1:11">
      <c r="A12" s="442" t="s">
        <v>415</v>
      </c>
      <c r="B12" s="443"/>
      <c r="C12" s="450">
        <v>7</v>
      </c>
      <c r="D12" s="445" t="s">
        <v>375</v>
      </c>
      <c r="E12" s="446"/>
      <c r="G12" s="471"/>
    </row>
    <row r="13" spans="1:11">
      <c r="A13" s="442" t="s">
        <v>413</v>
      </c>
      <c r="B13" s="443"/>
      <c r="C13" s="450">
        <f>3*C15</f>
        <v>21</v>
      </c>
      <c r="D13" s="445" t="s">
        <v>375</v>
      </c>
      <c r="E13" s="446"/>
      <c r="G13" s="471"/>
    </row>
    <row r="14" spans="1:11">
      <c r="A14" s="442" t="s">
        <v>414</v>
      </c>
      <c r="B14" s="443"/>
      <c r="C14" s="450">
        <v>12</v>
      </c>
      <c r="D14" s="445" t="s">
        <v>375</v>
      </c>
      <c r="E14" s="446"/>
      <c r="G14" s="471"/>
    </row>
    <row r="15" spans="1:11">
      <c r="A15" s="442" t="s">
        <v>423</v>
      </c>
      <c r="B15" s="443"/>
      <c r="C15" s="450">
        <v>7</v>
      </c>
      <c r="D15" s="445" t="s">
        <v>375</v>
      </c>
      <c r="E15" s="446"/>
      <c r="G15" s="471"/>
    </row>
    <row r="16" spans="1:11">
      <c r="A16" s="442" t="s">
        <v>376</v>
      </c>
      <c r="B16" s="443"/>
      <c r="C16" s="448">
        <f>'Suvine hoole'!C9</f>
        <v>100</v>
      </c>
      <c r="D16" s="445" t="s">
        <v>377</v>
      </c>
      <c r="E16" s="446" t="s">
        <v>376</v>
      </c>
      <c r="G16" s="471"/>
    </row>
    <row r="17" spans="1:7" ht="26.4">
      <c r="A17" s="442" t="s">
        <v>404</v>
      </c>
      <c r="B17" s="443"/>
      <c r="C17" s="448">
        <f>'Suvine hoole'!E13</f>
        <v>1.0268580774211027</v>
      </c>
      <c r="D17" s="445" t="s">
        <v>378</v>
      </c>
      <c r="E17" s="446" t="s">
        <v>410</v>
      </c>
    </row>
    <row r="18" spans="1:7">
      <c r="A18" s="442" t="s">
        <v>403</v>
      </c>
      <c r="B18" s="443"/>
      <c r="C18" s="448">
        <f>'Suvine hoole'!E24</f>
        <v>0.37257373378867226</v>
      </c>
      <c r="D18" s="445" t="s">
        <v>378</v>
      </c>
      <c r="E18" s="446" t="s">
        <v>411</v>
      </c>
    </row>
    <row r="19" spans="1:7">
      <c r="A19" s="442" t="s">
        <v>379</v>
      </c>
      <c r="B19" s="443"/>
      <c r="C19" s="448">
        <f>'Suvine hoole'!C10</f>
        <v>10</v>
      </c>
      <c r="D19" s="445" t="s">
        <v>377</v>
      </c>
      <c r="E19" s="446"/>
    </row>
    <row r="20" spans="1:7">
      <c r="A20" s="451" t="s">
        <v>431</v>
      </c>
      <c r="B20" s="452"/>
      <c r="C20" s="453">
        <v>5</v>
      </c>
      <c r="D20" s="454" t="s">
        <v>375</v>
      </c>
      <c r="E20" s="455"/>
    </row>
    <row r="21" spans="1:7">
      <c r="A21" s="487"/>
      <c r="B21" s="488"/>
      <c r="C21" s="489"/>
      <c r="D21" s="487"/>
      <c r="E21" s="487"/>
    </row>
    <row r="22" spans="1:7">
      <c r="A22" s="487" t="s">
        <v>426</v>
      </c>
      <c r="B22" s="488"/>
      <c r="C22" s="489"/>
      <c r="D22" s="487"/>
      <c r="E22" s="487"/>
    </row>
    <row r="23" spans="1:7">
      <c r="A23" s="487" t="s">
        <v>423</v>
      </c>
      <c r="B23" s="491">
        <v>15</v>
      </c>
      <c r="C23" s="492">
        <f>0.18*B23</f>
        <v>2.6999999999999997</v>
      </c>
      <c r="D23" s="487"/>
      <c r="E23" s="487"/>
    </row>
    <row r="24" spans="1:7">
      <c r="A24" s="487" t="s">
        <v>428</v>
      </c>
      <c r="B24" s="491">
        <v>15</v>
      </c>
      <c r="C24" s="492">
        <f>0.13*B24</f>
        <v>1.9500000000000002</v>
      </c>
      <c r="D24" s="487"/>
      <c r="E24" s="487"/>
    </row>
    <row r="25" spans="1:7">
      <c r="A25" s="487" t="s">
        <v>424</v>
      </c>
      <c r="B25" s="491">
        <v>75</v>
      </c>
      <c r="C25" s="492">
        <f>0.09*B25</f>
        <v>6.75</v>
      </c>
      <c r="D25" s="487"/>
      <c r="E25" s="487"/>
    </row>
    <row r="26" spans="1:7">
      <c r="A26" s="487" t="s">
        <v>425</v>
      </c>
      <c r="B26" s="490">
        <v>0.12</v>
      </c>
      <c r="C26" s="492">
        <f>B26*12</f>
        <v>1.44</v>
      </c>
      <c r="D26" s="487"/>
      <c r="E26" s="487"/>
    </row>
    <row r="27" spans="1:7" ht="17.55" customHeight="1"/>
    <row r="28" spans="1:7" ht="17.55" customHeight="1">
      <c r="A28" s="473" t="s">
        <v>419</v>
      </c>
    </row>
    <row r="29" spans="1:7">
      <c r="A29" s="467" t="s">
        <v>380</v>
      </c>
      <c r="B29" s="468" t="s">
        <v>323</v>
      </c>
      <c r="C29" s="468" t="s">
        <v>381</v>
      </c>
      <c r="D29" s="468" t="s">
        <v>382</v>
      </c>
      <c r="E29" s="468" t="s">
        <v>383</v>
      </c>
      <c r="F29" s="468" t="s">
        <v>384</v>
      </c>
      <c r="G29" s="469" t="s">
        <v>385</v>
      </c>
    </row>
    <row r="30" spans="1:7" ht="17.55" customHeight="1">
      <c r="A30" s="437" t="s">
        <v>358</v>
      </c>
      <c r="B30" s="438" t="s">
        <v>386</v>
      </c>
      <c r="C30" s="456">
        <v>5</v>
      </c>
      <c r="D30" s="456">
        <v>2</v>
      </c>
      <c r="E30" s="456">
        <v>2</v>
      </c>
      <c r="F30" s="456">
        <v>0</v>
      </c>
      <c r="G30" s="457">
        <v>1</v>
      </c>
    </row>
    <row r="31" spans="1:7" ht="17.55" customHeight="1">
      <c r="A31" s="442" t="s">
        <v>368</v>
      </c>
      <c r="B31" s="443" t="s">
        <v>386</v>
      </c>
      <c r="C31" s="458">
        <v>15</v>
      </c>
      <c r="D31" s="458">
        <v>2</v>
      </c>
      <c r="E31" s="458">
        <v>2</v>
      </c>
      <c r="F31" s="458">
        <f>C9</f>
        <v>0.5</v>
      </c>
      <c r="G31" s="459">
        <v>1</v>
      </c>
    </row>
    <row r="32" spans="1:7" ht="17.55" customHeight="1">
      <c r="A32" s="451" t="s">
        <v>370</v>
      </c>
      <c r="B32" s="452" t="s">
        <v>387</v>
      </c>
      <c r="C32" s="460">
        <v>10</v>
      </c>
      <c r="D32" s="460">
        <v>6</v>
      </c>
      <c r="E32" s="460">
        <v>4</v>
      </c>
      <c r="F32" s="460">
        <f>C9</f>
        <v>0.5</v>
      </c>
      <c r="G32" s="461">
        <v>1.2</v>
      </c>
    </row>
    <row r="33" spans="1:14" ht="17.55" customHeight="1"/>
    <row r="34" spans="1:14" ht="17.55" customHeight="1">
      <c r="A34" s="473" t="s">
        <v>420</v>
      </c>
    </row>
    <row r="35" spans="1:14" ht="39.6">
      <c r="A35" s="474" t="s">
        <v>388</v>
      </c>
      <c r="B35" s="475" t="s">
        <v>389</v>
      </c>
      <c r="C35" s="475" t="s">
        <v>390</v>
      </c>
      <c r="D35" s="475" t="s">
        <v>391</v>
      </c>
      <c r="E35" s="475" t="s">
        <v>392</v>
      </c>
      <c r="F35" s="475" t="s">
        <v>393</v>
      </c>
      <c r="G35" s="475" t="s">
        <v>394</v>
      </c>
      <c r="H35" s="475" t="s">
        <v>395</v>
      </c>
      <c r="I35" s="475" t="s">
        <v>396</v>
      </c>
      <c r="J35" s="476" t="s">
        <v>405</v>
      </c>
    </row>
    <row r="36" spans="1:14" ht="17.55" customHeight="1">
      <c r="A36" s="462" t="str">
        <f>A30</f>
        <v>Kruusatee 1+1</v>
      </c>
      <c r="B36" s="463">
        <f>$C$4*$C$5*C30*D30</f>
        <v>300</v>
      </c>
      <c r="C36" s="464">
        <f>B36*$C$6</f>
        <v>0.17000013591191149</v>
      </c>
      <c r="D36" s="464">
        <f>$C$4*E30*$C$8*($C$5*C30*F30)*G30/1000</f>
        <v>0</v>
      </c>
      <c r="E36" s="464">
        <f>D36*$C$7</f>
        <v>0</v>
      </c>
      <c r="F36" s="464">
        <f>IF($A36="Kruusatee 1+1",$C$16,0)</f>
        <v>100</v>
      </c>
      <c r="G36" s="464">
        <f>IF(F36&gt;0,((F36*1000*$C$10/1000)+($C$17*F36/$C$16)+($C$18*F36/$C$16))/$C$11,0)</f>
        <v>1.649431811209775</v>
      </c>
      <c r="H36" s="464">
        <f>IF($A36="Kruusatee 1+1",$C$19/$C$20,0)</f>
        <v>2</v>
      </c>
      <c r="I36" s="464">
        <f>H36*$C$7</f>
        <v>0.14000000000000001</v>
      </c>
      <c r="J36" s="477">
        <f>SUM(C36,E36,G36,I36)</f>
        <v>1.9594319471216863</v>
      </c>
      <c r="K36" s="497" t="str">
        <f>REPT("█",ROUND(J36/MAX($J$36:$J$38)*30,0))</f>
        <v>█████████████████</v>
      </c>
      <c r="L36" s="498"/>
      <c r="M36" s="498"/>
      <c r="N36" s="498"/>
    </row>
    <row r="37" spans="1:14" ht="17.55" customHeight="1">
      <c r="A37" s="462" t="str">
        <f>A31</f>
        <v>Asfaltkate 1+1</v>
      </c>
      <c r="B37" s="463">
        <f>$C$4*$C$5*C31*D31</f>
        <v>900</v>
      </c>
      <c r="C37" s="464">
        <f>B37*$C$6</f>
        <v>0.51000040773573452</v>
      </c>
      <c r="D37" s="464">
        <f>$C$4*E31*$C$8*($C$5*C31*F31)*G31/1000</f>
        <v>22.5</v>
      </c>
      <c r="E37" s="464">
        <f>D37*$C$7</f>
        <v>1.5750000000000002</v>
      </c>
      <c r="F37" s="464">
        <f>IF($A37="Kruusatee 1+1",$C$16,0)</f>
        <v>0</v>
      </c>
      <c r="G37" s="464">
        <f>IF(F37&gt;0,((F37*1000*$C$10/1000)+($C$17*F37/$C$16)+($C$18*F37/$C$16))/$C$11,0)</f>
        <v>0</v>
      </c>
      <c r="H37" s="464">
        <f>IF($A37="Kruusatee 1+1",$C$19/$C$20,0)</f>
        <v>0</v>
      </c>
      <c r="I37" s="464">
        <f>H37*$C$7</f>
        <v>0</v>
      </c>
      <c r="J37" s="477">
        <f>SUM(C37,E37,G37,I37)</f>
        <v>2.0850004077357349</v>
      </c>
      <c r="K37" s="497" t="str">
        <f>REPT("█",ROUND(J37/MAX($J$36:$J$38)*30,0))</f>
        <v>██████████████████</v>
      </c>
      <c r="L37" s="498"/>
      <c r="M37" s="498"/>
      <c r="N37" s="498"/>
    </row>
    <row r="38" spans="1:14" ht="17.55" customHeight="1">
      <c r="A38" s="462" t="str">
        <f>A32</f>
        <v>Asfaltkate 2+2</v>
      </c>
      <c r="B38" s="463">
        <f>$C$4*$C$5*C32*D32</f>
        <v>1800</v>
      </c>
      <c r="C38" s="464">
        <f>B38*$C$6</f>
        <v>1.020000815471469</v>
      </c>
      <c r="D38" s="464">
        <f>$C$4*E32*$C$8*($C$5*C32*F32)*G32/1000</f>
        <v>36</v>
      </c>
      <c r="E38" s="464">
        <f>D38*$C$7</f>
        <v>2.5200000000000005</v>
      </c>
      <c r="F38" s="464">
        <f>IF($A38="Kruusatee 1+1",$C$16,0)</f>
        <v>0</v>
      </c>
      <c r="G38" s="464">
        <f>IF(F38&gt;0,((F38*1000*$C$10/1000)+($C$17*F38/$C$16)+($C$18*F38/$C$16))/$C$11,0)</f>
        <v>0</v>
      </c>
      <c r="H38" s="464">
        <f>IF($A38="Kruusatee 1+1",$C$19/$C$20,0)</f>
        <v>0</v>
      </c>
      <c r="I38" s="464">
        <f>H38*$C$7</f>
        <v>0</v>
      </c>
      <c r="J38" s="477">
        <f>SUM(C38,E38,G38,I38)</f>
        <v>3.5400008154714695</v>
      </c>
      <c r="K38" s="497" t="str">
        <f>REPT("█",ROUND(J38/MAX($J$36:$J$38)*30,0))</f>
        <v>██████████████████████████████</v>
      </c>
      <c r="L38" s="498"/>
      <c r="M38" s="498"/>
      <c r="N38" s="498"/>
    </row>
    <row r="40" spans="1:14">
      <c r="A40" s="473" t="s">
        <v>421</v>
      </c>
    </row>
    <row r="41" spans="1:14">
      <c r="A41" s="478" t="s">
        <v>323</v>
      </c>
      <c r="B41" s="478" t="s">
        <v>412</v>
      </c>
      <c r="C41" s="478" t="s">
        <v>416</v>
      </c>
      <c r="D41" s="476" t="s">
        <v>406</v>
      </c>
      <c r="E41" s="478" t="s">
        <v>435</v>
      </c>
      <c r="F41" s="478" t="s">
        <v>405</v>
      </c>
      <c r="H41" s="472" t="s">
        <v>438</v>
      </c>
      <c r="K41" s="466" t="s">
        <v>436</v>
      </c>
    </row>
    <row r="42" spans="1:14">
      <c r="A42" s="479" t="s">
        <v>358</v>
      </c>
      <c r="B42" s="493">
        <f>C26</f>
        <v>1.44</v>
      </c>
      <c r="C42" s="480">
        <f>2*4</f>
        <v>8</v>
      </c>
      <c r="D42" s="481">
        <f>B42*C42</f>
        <v>11.52</v>
      </c>
      <c r="E42" s="482">
        <f>C12</f>
        <v>7</v>
      </c>
      <c r="F42" s="477">
        <f>D42*$C$4/E42</f>
        <v>16.457142857142856</v>
      </c>
      <c r="G42" s="497" t="str">
        <f>REPT("█",ROUND(D42/MAX($D$42:$D$46)*30,0))</f>
        <v>█████████████████████████</v>
      </c>
      <c r="H42" s="498"/>
      <c r="I42" s="498"/>
      <c r="J42" s="498"/>
      <c r="K42" s="498" t="str">
        <f>REPT("█",ROUND(F42/MAX($F$42:$F$46)*30,0))</f>
        <v>██████████████████████████████</v>
      </c>
      <c r="L42" s="498"/>
      <c r="M42" s="498"/>
      <c r="N42" s="498"/>
    </row>
    <row r="43" spans="1:14">
      <c r="A43" s="479" t="s">
        <v>432</v>
      </c>
      <c r="B43" s="493">
        <f>C23</f>
        <v>2.6999999999999997</v>
      </c>
      <c r="C43" s="480">
        <f>4*1</f>
        <v>4</v>
      </c>
      <c r="D43" s="481">
        <f t="shared" ref="D43:D45" si="0">B43*C43</f>
        <v>10.799999999999999</v>
      </c>
      <c r="E43" s="482">
        <f>C15</f>
        <v>7</v>
      </c>
      <c r="F43" s="477">
        <f>D43*$C$4*2/(3*E43)</f>
        <v>10.285714285714285</v>
      </c>
      <c r="G43" s="497" t="str">
        <f>REPT("█",ROUND(D43/MAX($D$42:$D$46)*30,0))</f>
        <v>████████████████████████</v>
      </c>
      <c r="H43" s="498"/>
      <c r="I43" s="498"/>
      <c r="J43" s="498"/>
      <c r="K43" s="498" t="str">
        <f>REPT("█",ROUND(F43/MAX($F$42:$F$46)*30,0))</f>
        <v>███████████████████</v>
      </c>
      <c r="L43" s="498"/>
      <c r="M43" s="498"/>
      <c r="N43" s="498"/>
    </row>
    <row r="44" spans="1:14">
      <c r="A44" s="479" t="s">
        <v>433</v>
      </c>
      <c r="B44" s="493">
        <f>C24</f>
        <v>1.9500000000000002</v>
      </c>
      <c r="C44" s="480">
        <f>2*3.25</f>
        <v>6.5</v>
      </c>
      <c r="D44" s="481">
        <f t="shared" si="0"/>
        <v>12.675000000000001</v>
      </c>
      <c r="E44" s="482">
        <f>C13</f>
        <v>21</v>
      </c>
      <c r="F44" s="477">
        <f t="shared" ref="F44" si="1">D44*$C$4/E44</f>
        <v>6.0357142857142856</v>
      </c>
      <c r="G44" s="497" t="str">
        <f>REPT("█",ROUND(D44/MAX($D$42:$D$46)*30,0))</f>
        <v>████████████████████████████</v>
      </c>
      <c r="H44" s="498"/>
      <c r="I44" s="498"/>
      <c r="J44" s="498"/>
      <c r="K44" s="498" t="str">
        <f>REPT("█",ROUND(F44/MAX($F$42:$F$46)*30,0))</f>
        <v>███████████</v>
      </c>
      <c r="L44" s="498"/>
      <c r="M44" s="498"/>
      <c r="N44" s="498"/>
    </row>
    <row r="45" spans="1:14">
      <c r="A45" s="479" t="s">
        <v>427</v>
      </c>
      <c r="B45" s="493">
        <f>C23</f>
        <v>2.6999999999999997</v>
      </c>
      <c r="C45" s="480">
        <f>4*1</f>
        <v>4</v>
      </c>
      <c r="D45" s="481">
        <f t="shared" si="0"/>
        <v>10.799999999999999</v>
      </c>
      <c r="E45" s="482">
        <v>7</v>
      </c>
      <c r="F45" s="477">
        <f>D45*$C$4*2/(3*E45)</f>
        <v>10.285714285714285</v>
      </c>
      <c r="G45" s="497" t="str">
        <f>REPT("█",ROUND(D45/MAX($D$42:$D$46)*30,0))</f>
        <v>████████████████████████</v>
      </c>
      <c r="H45" s="498"/>
      <c r="I45" s="498"/>
      <c r="J45" s="498"/>
      <c r="K45" s="498" t="str">
        <f>REPT("█",ROUND(F45/MAX($F$42:$F$46)*30,0))</f>
        <v>███████████████████</v>
      </c>
      <c r="L45" s="498"/>
      <c r="M45" s="498"/>
      <c r="N45" s="498"/>
    </row>
    <row r="46" spans="1:14">
      <c r="A46" s="479" t="s">
        <v>429</v>
      </c>
      <c r="B46" s="493">
        <f>C24</f>
        <v>1.9500000000000002</v>
      </c>
      <c r="C46" s="480">
        <f>2*3.5</f>
        <v>7</v>
      </c>
      <c r="D46" s="481">
        <f t="shared" ref="D46" si="2">B46*C46</f>
        <v>13.650000000000002</v>
      </c>
      <c r="E46" s="482">
        <f>C13</f>
        <v>21</v>
      </c>
      <c r="F46" s="477">
        <f>D46*$C$4*1/E46</f>
        <v>6.5000000000000018</v>
      </c>
      <c r="G46" s="497" t="str">
        <f>REPT("█",ROUND(D46/MAX($D$42:$D$46)*30,0))</f>
        <v>██████████████████████████████</v>
      </c>
      <c r="H46" s="498"/>
      <c r="I46" s="498"/>
      <c r="J46" s="498"/>
      <c r="K46" s="498" t="str">
        <f>REPT("█",ROUND(F46/MAX($F$42:$F$46)*30,0))</f>
        <v>████████████</v>
      </c>
      <c r="L46" s="498"/>
      <c r="M46" s="498"/>
      <c r="N46" s="498"/>
    </row>
    <row r="49" spans="1:8">
      <c r="A49" s="473" t="s">
        <v>422</v>
      </c>
    </row>
    <row r="50" spans="1:8" ht="26.4">
      <c r="A50" s="476" t="s">
        <v>323</v>
      </c>
      <c r="B50" s="476" t="s">
        <v>417</v>
      </c>
      <c r="C50" s="476" t="s">
        <v>418</v>
      </c>
      <c r="D50" s="476" t="s">
        <v>434</v>
      </c>
    </row>
    <row r="51" spans="1:8">
      <c r="A51" s="479" t="s">
        <v>358</v>
      </c>
      <c r="B51" s="483">
        <f>J36</f>
        <v>1.9594319471216863</v>
      </c>
      <c r="C51" s="483">
        <f>F42</f>
        <v>16.457142857142856</v>
      </c>
      <c r="D51" s="495">
        <f>B51+C51</f>
        <v>18.416574804264542</v>
      </c>
      <c r="E51" s="497" t="str">
        <f>REPT("█",ROUND(D51/MAX($D$51:$D$53)*30,0))</f>
        <v>███████████████████████████</v>
      </c>
      <c r="F51" s="498"/>
      <c r="G51" s="498"/>
      <c r="H51" s="498"/>
    </row>
    <row r="52" spans="1:8">
      <c r="A52" s="479" t="s">
        <v>368</v>
      </c>
      <c r="B52" s="483">
        <f>J37</f>
        <v>2.0850004077357349</v>
      </c>
      <c r="C52" s="483">
        <f>F44+F43</f>
        <v>16.321428571428569</v>
      </c>
      <c r="D52" s="495">
        <f t="shared" ref="D52" si="3">B52+C52</f>
        <v>18.406428979164303</v>
      </c>
      <c r="E52" s="497" t="str">
        <f>REPT("█",ROUND(D52/MAX($D$51:$D$53)*30,0))</f>
        <v>███████████████████████████</v>
      </c>
      <c r="F52" s="498"/>
      <c r="G52" s="498"/>
      <c r="H52" s="498"/>
    </row>
    <row r="53" spans="1:8">
      <c r="A53" s="479" t="s">
        <v>370</v>
      </c>
      <c r="B53" s="483">
        <f>J38</f>
        <v>3.5400008154714695</v>
      </c>
      <c r="C53" s="483">
        <f>F45+F46</f>
        <v>16.785714285714285</v>
      </c>
      <c r="D53" s="495">
        <f>B53+C53</f>
        <v>20.325715101185754</v>
      </c>
      <c r="E53" s="497" t="str">
        <f>REPT("█",ROUND(D53/MAX($D$51:$D$53)*30,0))</f>
        <v>██████████████████████████████</v>
      </c>
      <c r="F53" s="498"/>
      <c r="G53" s="498"/>
      <c r="H53" s="498"/>
    </row>
    <row r="57" spans="1:8">
      <c r="A57" s="484" t="s">
        <v>374</v>
      </c>
      <c r="B57" s="485"/>
      <c r="C57" s="485"/>
      <c r="D57" s="486"/>
    </row>
    <row r="58" spans="1:8" ht="13.2" customHeight="1">
      <c r="A58" s="496" t="s">
        <v>437</v>
      </c>
      <c r="B58" s="496"/>
      <c r="C58" s="496"/>
      <c r="D58" s="496"/>
      <c r="E58" s="496"/>
      <c r="F58" s="496"/>
      <c r="G58" s="496"/>
      <c r="H58" s="494"/>
    </row>
    <row r="59" spans="1:8">
      <c r="A59" s="496"/>
      <c r="B59" s="496"/>
      <c r="C59" s="496"/>
      <c r="D59" s="496"/>
      <c r="E59" s="496"/>
      <c r="F59" s="496"/>
      <c r="G59" s="496"/>
      <c r="H59" s="494"/>
    </row>
    <row r="60" spans="1:8">
      <c r="A60" s="496"/>
      <c r="B60" s="496"/>
      <c r="C60" s="496"/>
      <c r="D60" s="496"/>
      <c r="E60" s="496"/>
      <c r="F60" s="496"/>
      <c r="G60" s="496"/>
      <c r="H60" s="494"/>
    </row>
    <row r="61" spans="1:8">
      <c r="A61" s="496"/>
      <c r="B61" s="496"/>
      <c r="C61" s="496"/>
      <c r="D61" s="496"/>
      <c r="E61" s="496"/>
      <c r="F61" s="496"/>
      <c r="G61" s="496"/>
      <c r="H61" s="494"/>
    </row>
    <row r="62" spans="1:8">
      <c r="A62" s="496"/>
      <c r="B62" s="496"/>
      <c r="C62" s="496"/>
      <c r="D62" s="496"/>
      <c r="E62" s="496"/>
      <c r="F62" s="496"/>
      <c r="G62" s="496"/>
      <c r="H62" s="494"/>
    </row>
    <row r="63" spans="1:8">
      <c r="A63" s="496"/>
      <c r="B63" s="496"/>
      <c r="C63" s="496"/>
      <c r="D63" s="496"/>
      <c r="E63" s="496"/>
      <c r="F63" s="496"/>
      <c r="G63" s="496"/>
      <c r="H63" s="494"/>
    </row>
    <row r="64" spans="1:8">
      <c r="A64" s="496"/>
      <c r="B64" s="496"/>
      <c r="C64" s="496"/>
      <c r="D64" s="496"/>
      <c r="E64" s="496"/>
      <c r="F64" s="496"/>
      <c r="G64" s="496"/>
      <c r="H64" s="494"/>
    </row>
    <row r="65" spans="1:8">
      <c r="A65" s="496"/>
      <c r="B65" s="496"/>
      <c r="C65" s="496"/>
      <c r="D65" s="496"/>
      <c r="E65" s="496"/>
      <c r="F65" s="496"/>
      <c r="G65" s="496"/>
      <c r="H65" s="494"/>
    </row>
    <row r="66" spans="1:8">
      <c r="A66" s="496"/>
      <c r="B66" s="496"/>
      <c r="C66" s="496"/>
      <c r="D66" s="496"/>
      <c r="E66" s="496"/>
      <c r="F66" s="496"/>
      <c r="G66" s="496"/>
      <c r="H66" s="494"/>
    </row>
    <row r="67" spans="1:8">
      <c r="A67" s="496"/>
      <c r="B67" s="496"/>
      <c r="C67" s="496"/>
      <c r="D67" s="496"/>
      <c r="E67" s="496"/>
      <c r="F67" s="496"/>
      <c r="G67" s="496"/>
      <c r="H67" s="494"/>
    </row>
    <row r="68" spans="1:8">
      <c r="A68" s="496"/>
      <c r="B68" s="496"/>
      <c r="C68" s="496"/>
      <c r="D68" s="496"/>
      <c r="E68" s="496"/>
      <c r="F68" s="496"/>
      <c r="G68" s="496"/>
      <c r="H68" s="494"/>
    </row>
    <row r="69" spans="1:8">
      <c r="A69" s="496"/>
      <c r="B69" s="496"/>
      <c r="C69" s="496"/>
      <c r="D69" s="496"/>
      <c r="E69" s="496"/>
      <c r="F69" s="496"/>
      <c r="G69" s="496"/>
      <c r="H69" s="494"/>
    </row>
    <row r="70" spans="1:8">
      <c r="A70" s="496"/>
      <c r="B70" s="496"/>
      <c r="C70" s="496"/>
      <c r="D70" s="496"/>
      <c r="E70" s="496"/>
      <c r="F70" s="496"/>
      <c r="G70" s="496"/>
      <c r="H70" s="494"/>
    </row>
    <row r="71" spans="1:8">
      <c r="A71" s="496"/>
      <c r="B71" s="496"/>
      <c r="C71" s="496"/>
      <c r="D71" s="496"/>
      <c r="E71" s="496"/>
      <c r="F71" s="496"/>
      <c r="G71" s="496"/>
      <c r="H71" s="494"/>
    </row>
    <row r="72" spans="1:8">
      <c r="A72" s="496"/>
      <c r="B72" s="496"/>
      <c r="C72" s="496"/>
      <c r="D72" s="496"/>
      <c r="E72" s="496"/>
      <c r="F72" s="496"/>
      <c r="G72" s="496"/>
      <c r="H72" s="494"/>
    </row>
    <row r="73" spans="1:8">
      <c r="A73" s="496"/>
      <c r="B73" s="496"/>
      <c r="C73" s="496"/>
      <c r="D73" s="496"/>
      <c r="E73" s="496"/>
      <c r="F73" s="496"/>
      <c r="G73" s="496"/>
      <c r="H73" s="494"/>
    </row>
    <row r="74" spans="1:8">
      <c r="A74" s="496"/>
      <c r="B74" s="496"/>
      <c r="C74" s="496"/>
      <c r="D74" s="496"/>
      <c r="E74" s="496"/>
      <c r="F74" s="496"/>
      <c r="G74" s="496"/>
      <c r="H74" s="494"/>
    </row>
    <row r="75" spans="1:8">
      <c r="A75" s="496"/>
      <c r="B75" s="496"/>
      <c r="C75" s="496"/>
      <c r="D75" s="496"/>
      <c r="E75" s="496"/>
      <c r="F75" s="496"/>
      <c r="G75" s="496"/>
      <c r="H75" s="494"/>
    </row>
    <row r="76" spans="1:8">
      <c r="A76" s="496"/>
      <c r="B76" s="496"/>
      <c r="C76" s="496"/>
      <c r="D76" s="496"/>
      <c r="E76" s="496"/>
      <c r="F76" s="496"/>
      <c r="G76" s="496"/>
      <c r="H76" s="494"/>
    </row>
    <row r="77" spans="1:8">
      <c r="A77" s="496"/>
      <c r="B77" s="496"/>
      <c r="C77" s="496"/>
      <c r="D77" s="496"/>
      <c r="E77" s="496"/>
      <c r="F77" s="496"/>
      <c r="G77" s="496"/>
      <c r="H77" s="494"/>
    </row>
    <row r="78" spans="1:8">
      <c r="A78" s="494"/>
      <c r="B78" s="494"/>
      <c r="C78" s="494"/>
      <c r="D78" s="494"/>
      <c r="E78" s="494"/>
      <c r="F78" s="494"/>
      <c r="G78" s="494"/>
      <c r="H78" s="494"/>
    </row>
    <row r="79" spans="1:8">
      <c r="A79" s="494"/>
      <c r="B79" s="494"/>
      <c r="C79" s="494"/>
      <c r="D79" s="494"/>
      <c r="E79" s="494"/>
      <c r="F79" s="494"/>
      <c r="G79" s="494"/>
      <c r="H79" s="494"/>
    </row>
    <row r="80" spans="1:8">
      <c r="A80" s="494"/>
      <c r="B80" s="494"/>
      <c r="C80" s="494"/>
      <c r="D80" s="494"/>
      <c r="E80" s="494"/>
      <c r="F80" s="494"/>
      <c r="G80" s="494"/>
      <c r="H80" s="494"/>
    </row>
    <row r="81" spans="1:8">
      <c r="A81" s="494"/>
      <c r="B81" s="494"/>
      <c r="C81" s="494"/>
      <c r="D81" s="494"/>
      <c r="E81" s="494"/>
      <c r="F81" s="494"/>
      <c r="G81" s="494"/>
      <c r="H81" s="494"/>
    </row>
    <row r="82" spans="1:8">
      <c r="A82" s="494"/>
      <c r="B82" s="494"/>
      <c r="C82" s="494"/>
      <c r="D82" s="494"/>
      <c r="E82" s="494"/>
      <c r="F82" s="494"/>
      <c r="G82" s="494"/>
      <c r="H82" s="494"/>
    </row>
    <row r="83" spans="1:8">
      <c r="A83" s="494"/>
      <c r="B83" s="494"/>
      <c r="C83" s="494"/>
      <c r="D83" s="494"/>
      <c r="E83" s="494"/>
      <c r="F83" s="494"/>
      <c r="G83" s="494"/>
      <c r="H83" s="494"/>
    </row>
    <row r="84" spans="1:8">
      <c r="A84" s="494"/>
      <c r="B84" s="494"/>
      <c r="C84" s="494"/>
      <c r="D84" s="494"/>
      <c r="E84" s="494"/>
      <c r="F84" s="494"/>
      <c r="G84" s="494"/>
      <c r="H84" s="494"/>
    </row>
    <row r="85" spans="1:8">
      <c r="A85" s="494"/>
      <c r="B85" s="494"/>
      <c r="C85" s="494"/>
      <c r="D85" s="494"/>
      <c r="E85" s="494"/>
      <c r="F85" s="494"/>
      <c r="G85" s="494"/>
      <c r="H85" s="494"/>
    </row>
    <row r="86" spans="1:8">
      <c r="A86" s="494"/>
      <c r="B86" s="494"/>
      <c r="C86" s="494"/>
      <c r="D86" s="494"/>
      <c r="E86" s="494"/>
      <c r="F86" s="494"/>
      <c r="G86" s="494"/>
      <c r="H86" s="494"/>
    </row>
    <row r="87" spans="1:8">
      <c r="A87" s="494"/>
      <c r="B87" s="494"/>
      <c r="C87" s="494"/>
      <c r="D87" s="494"/>
      <c r="E87" s="494"/>
      <c r="F87" s="494"/>
      <c r="G87" s="494"/>
      <c r="H87" s="494"/>
    </row>
    <row r="88" spans="1:8">
      <c r="A88" s="494"/>
      <c r="B88" s="494"/>
      <c r="C88" s="494"/>
      <c r="D88" s="494"/>
      <c r="E88" s="494"/>
      <c r="F88" s="494"/>
      <c r="G88" s="494"/>
      <c r="H88" s="494"/>
    </row>
    <row r="89" spans="1:8">
      <c r="A89" s="494"/>
      <c r="B89" s="494"/>
      <c r="C89" s="494"/>
      <c r="D89" s="494"/>
      <c r="E89" s="494"/>
      <c r="F89" s="494"/>
      <c r="G89" s="494"/>
      <c r="H89" s="494"/>
    </row>
    <row r="90" spans="1:8">
      <c r="A90" s="494"/>
      <c r="B90" s="494"/>
      <c r="C90" s="494"/>
      <c r="D90" s="494"/>
      <c r="E90" s="494"/>
      <c r="F90" s="494"/>
      <c r="G90" s="494"/>
    </row>
    <row r="91" spans="1:8">
      <c r="A91" s="494"/>
      <c r="B91" s="494"/>
      <c r="C91" s="494"/>
      <c r="D91" s="494"/>
      <c r="E91" s="494"/>
      <c r="F91" s="494"/>
      <c r="G91" s="494"/>
    </row>
    <row r="92" spans="1:8">
      <c r="A92" s="494"/>
      <c r="B92" s="494"/>
      <c r="C92" s="494"/>
      <c r="D92" s="494"/>
      <c r="E92" s="494"/>
      <c r="F92" s="494"/>
      <c r="G92" s="494"/>
    </row>
    <row r="93" spans="1:8">
      <c r="A93" s="494"/>
      <c r="B93" s="494"/>
      <c r="C93" s="494"/>
      <c r="D93" s="494"/>
      <c r="E93" s="494"/>
      <c r="F93" s="494"/>
      <c r="G93" s="494"/>
    </row>
    <row r="94" spans="1:8">
      <c r="A94" s="494"/>
      <c r="B94" s="494"/>
      <c r="C94" s="494"/>
      <c r="D94" s="494"/>
      <c r="E94" s="494"/>
      <c r="F94" s="494"/>
      <c r="G94" s="494"/>
    </row>
    <row r="95" spans="1:8">
      <c r="A95" s="494"/>
      <c r="B95" s="494"/>
      <c r="C95" s="494"/>
      <c r="D95" s="494"/>
      <c r="E95" s="494"/>
      <c r="F95" s="494"/>
      <c r="G95" s="494"/>
    </row>
  </sheetData>
  <mergeCells count="18">
    <mergeCell ref="A1:C1"/>
    <mergeCell ref="E51:H51"/>
    <mergeCell ref="E52:H52"/>
    <mergeCell ref="E53:H53"/>
    <mergeCell ref="G42:J42"/>
    <mergeCell ref="G44:J44"/>
    <mergeCell ref="G45:J45"/>
    <mergeCell ref="A58:G77"/>
    <mergeCell ref="K36:N36"/>
    <mergeCell ref="K37:N37"/>
    <mergeCell ref="K38:N38"/>
    <mergeCell ref="G46:J46"/>
    <mergeCell ref="G43:J43"/>
    <mergeCell ref="K42:N42"/>
    <mergeCell ref="K43:N43"/>
    <mergeCell ref="K44:N44"/>
    <mergeCell ref="K45:N45"/>
    <mergeCell ref="K46:N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GWP</vt:lpstr>
      <vt:lpstr>Masinad</vt:lpstr>
      <vt:lpstr>Talihoole</vt:lpstr>
      <vt:lpstr>Suvine hoole</vt:lpstr>
      <vt:lpstr>Hoolduse võrdlus</vt:lpstr>
      <vt:lpstr>Masinad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Alar Tooming</dc:creator>
  <cp:lastModifiedBy>Tarvo Mill</cp:lastModifiedBy>
  <dcterms:created xsi:type="dcterms:W3CDTF">2025-07-02T12:54:06Z</dcterms:created>
  <dcterms:modified xsi:type="dcterms:W3CDTF">2026-04-25T18:36:38Z</dcterms:modified>
</cp:coreProperties>
</file>